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M9qCqQchio1qHCW6psNOisCb2nvt35iYfILrwYzGObhDxm9B4G+0qgtTXtwPxn0vPjCQNbvdDTclljQ/wde5VA==" workbookSaltValue="wIAH6WkgLqqvWO9FDEZa+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AY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R8" i="9"/>
  <c r="X12" i="21" s="1"/>
  <c r="EP19" i="8"/>
  <c r="ER19" i="13"/>
  <c r="AL13" i="16"/>
  <c r="AJ13" i="16"/>
  <c r="EP19" i="19"/>
  <c r="BH17" i="16"/>
  <c r="BL17" i="11"/>
  <c r="S13" i="16"/>
  <c r="P13" i="16"/>
  <c r="AM13" i="20"/>
  <c r="K18" i="2"/>
  <c r="M13" i="2"/>
  <c r="M18" i="2"/>
  <c r="N13" i="2"/>
  <c r="N18" i="2"/>
  <c r="T13" i="12"/>
  <c r="V11" i="11"/>
  <c r="BI15" i="11"/>
  <c r="BG15" i="11"/>
  <c r="BM15" i="11"/>
  <c r="T15" i="16"/>
  <c r="BW9" i="20"/>
  <c r="BV16" i="16"/>
  <c r="BV15" i="16"/>
  <c r="BU9" i="17"/>
  <c r="BU17" i="17"/>
  <c r="BU12" i="17"/>
  <c r="T13" i="16"/>
  <c r="AZ16" i="11"/>
  <c r="X17" i="17"/>
  <c r="P15" i="17"/>
  <c r="BL15" i="11"/>
  <c r="BJ10" i="11"/>
  <c r="BH11" i="11"/>
  <c r="BF15" i="11"/>
  <c r="BH16" i="11"/>
  <c r="AQ12" i="21"/>
  <c r="BJ16" i="11"/>
  <c r="BL16" i="11"/>
  <c r="T13" i="20"/>
  <c r="BF15" i="8"/>
  <c r="BF9" i="8"/>
  <c r="L10" i="2"/>
  <c r="AU18" i="21"/>
  <c r="AH13" i="16"/>
  <c r="L15" i="2"/>
  <c r="L16" i="2"/>
  <c r="X10" i="21"/>
  <c r="U9" i="17"/>
  <c r="U19" i="17" s="1"/>
  <c r="L9" i="2"/>
  <c r="AP13" i="16"/>
  <c r="V9" i="16"/>
  <c r="T18" i="17"/>
  <c r="BG15" i="13"/>
  <c r="BE16" i="13"/>
  <c r="BE15" i="13"/>
  <c r="AX20" i="20"/>
  <c r="B18" i="7" l="1"/>
  <c r="S19" i="8"/>
  <c r="AB13" i="21"/>
  <c r="H10" i="2"/>
  <c r="BG10" i="8"/>
  <c r="T9" i="11"/>
  <c r="V10" i="16"/>
  <c r="X15" i="16"/>
  <c r="X18" i="16" s="1"/>
  <c r="L17" i="2"/>
  <c r="L12" i="2"/>
  <c r="S16" i="17"/>
  <c r="S15" i="17"/>
  <c r="BK10" i="11"/>
  <c r="BH12" i="16"/>
  <c r="BM9" i="11"/>
  <c r="S17" i="17"/>
  <c r="BG16" i="11"/>
  <c r="BK16" i="11"/>
  <c r="BL10" i="11"/>
  <c r="BF12" i="11"/>
  <c r="S15" i="16"/>
  <c r="AZ11" i="11"/>
  <c r="S11" i="17"/>
  <c r="BV10" i="16"/>
  <c r="BW15" i="20"/>
  <c r="BW16" i="20"/>
  <c r="BW17" i="20"/>
  <c r="BU15" i="17"/>
  <c r="T17" i="16"/>
  <c r="BH17" i="11"/>
  <c r="BJ12" i="11"/>
  <c r="BM12" i="11"/>
  <c r="BF10" i="11"/>
  <c r="BM16" i="11"/>
  <c r="BH11" i="16"/>
  <c r="AL16" i="11"/>
  <c r="C16" i="6"/>
  <c r="BE9" i="13"/>
  <c r="BM17" i="11"/>
  <c r="Q15" i="17"/>
  <c r="BH10" i="16"/>
  <c r="S10" i="17"/>
  <c r="AQ10" i="21"/>
  <c r="BI9" i="11"/>
  <c r="BH10" i="11"/>
  <c r="Q17" i="17"/>
  <c r="BG12" i="11"/>
  <c r="T16" i="11"/>
  <c r="AZ12" i="11"/>
  <c r="AA17" i="16"/>
  <c r="BV9" i="16"/>
  <c r="BU16" i="17"/>
  <c r="V12" i="16"/>
  <c r="BW10" i="20"/>
  <c r="U10" i="17"/>
  <c r="BW11" i="20"/>
  <c r="BV11" i="16"/>
  <c r="BW12" i="20"/>
  <c r="BV12" i="16"/>
  <c r="BU10" i="17"/>
  <c r="BV17" i="16"/>
  <c r="BU11" i="17"/>
  <c r="AZ15" i="11"/>
  <c r="AZ18" i="11" s="1"/>
  <c r="AP17" i="20"/>
  <c r="AZ9" i="11"/>
  <c r="AZ13" i="11" s="1"/>
  <c r="BK17" i="11"/>
  <c r="R17" i="20"/>
  <c r="R18" i="20" s="1"/>
  <c r="AP15" i="20"/>
  <c r="BJ15" i="11"/>
  <c r="BH9" i="11"/>
  <c r="AP10" i="21"/>
  <c r="BK11" i="11"/>
  <c r="X11" i="17"/>
  <c r="BK9" i="11"/>
  <c r="BK12" i="11"/>
  <c r="P17" i="17"/>
  <c r="BG10" i="11"/>
  <c r="BL9" i="11"/>
  <c r="BF11"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J18" i="2" s="1"/>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D20" i="20"/>
  <c r="AI20" i="20"/>
  <c r="AL20" i="20"/>
  <c r="O20" i="20"/>
  <c r="AF20" i="20"/>
  <c r="AG20" i="20"/>
  <c r="O10" i="11"/>
  <c r="AH20" i="20"/>
  <c r="H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AQ20" i="21"/>
  <c r="AK20" i="20"/>
  <c r="U12" i="11"/>
  <c r="E20" i="20"/>
  <c r="S20" i="20"/>
  <c r="F20" i="20"/>
  <c r="AQ20" i="20"/>
  <c r="W20" i="20"/>
  <c r="AC20" i="20"/>
  <c r="K20" i="20"/>
  <c r="AP20" i="20"/>
  <c r="O16" i="11"/>
  <c r="Q20" i="20"/>
  <c r="Z20" i="20"/>
  <c r="AZ19" i="11"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AN18" i="11" l="1"/>
  <c r="AI19" i="11"/>
  <c r="AL13" i="11"/>
  <c r="B13" i="6"/>
  <c r="BF13" i="8"/>
  <c r="G19" i="7"/>
  <c r="AL19" i="21"/>
  <c r="AO13" i="17"/>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U20" i="11"/>
  <c r="L20" i="21"/>
  <c r="F20" i="17"/>
  <c r="AI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AF20" i="16"/>
  <c r="AN20" i="17"/>
  <c r="O20" i="16"/>
  <c r="AH20" i="11"/>
  <c r="B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<sst xmlns="http://schemas.openxmlformats.org/spreadsheetml/2006/main" count="2102" uniqueCount="918">
  <si>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</si>
  <si>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</si>
  <si>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</si>
  <si>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</si>
  <si>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</si>
  <si>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</si>
  <si>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</si>
  <si>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</si>
  <si>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</si>
  <si>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</si>
  <si>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</si>
  <si>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</si>
  <si>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</si>
  <si>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</si>
  <si>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</si>
  <si>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</si>
  <si>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</si>
  <si>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</si>
  <si>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</si>
  <si>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</si>
  <si>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</si>
  <si>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</si>
  <si>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</si>
  <si>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</si>
  <si>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</si>
  <si>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</si>
  <si>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</si>
  <si>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</si>
  <si>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</si>
  <si>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</si>
  <si>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</si>
  <si>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</si>
  <si>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</si>
  <si>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</si>
  <si>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</si>
  <si>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</si>
  <si>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</si>
  <si>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</si>
  <si>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</si>
  <si>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</si>
  <si>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</si>
  <si>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</si>
  <si>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</si>
  <si>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</si>
  <si>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</si>
  <si>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</si>
  <si>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</si>
  <si>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</si>
  <si>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</si>
  <si>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</si>
  <si>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</si>
  <si>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</si>
  <si>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</si>
  <si>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</si>
  <si>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</si>
  <si>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</si>
  <si>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</si>
  <si>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</si>
  <si>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</si>
  <si>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</si>
  <si>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</si>
  <si>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</si>
  <si>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</si>
  <si>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</si>
  <si>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</si>
  <si>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</si>
  <si>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</si>
  <si>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</si>
  <si>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</si>
  <si>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</si>
  <si>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</si>
  <si>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</si>
  <si>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</si>
  <si>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</si>
  <si>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</si>
  <si>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</si>
  <si>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</si>
  <si>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</si>
  <si>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</si>
  <si>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</si>
  <si>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</si>
  <si>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</si>
  <si>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</si>
  <si>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</si>
  <si>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</si>
  <si>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</si>
  <si>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</si>
  <si>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</si>
  <si>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</si>
  <si>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</si>
  <si>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</si>
  <si>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</si>
  <si>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</si>
  <si>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</si>
  <si>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</si>
  <si>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</si>
  <si>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</si>
  <si>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</si>
  <si>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</si>
  <si>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</si>
  <si>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</si>
  <si>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</si>
  <si>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</si>
  <si>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</si>
  <si>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</si>
  <si>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</si>
  <si>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</si>
  <si>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</si>
  <si>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</si>
  <si>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</si>
  <si>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</si>
  <si>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</si>
  <si>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</si>
  <si>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</si>
  <si>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</si>
  <si>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</si>
  <si>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</si>
  <si>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</si>
  <si>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</si>
  <si>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</si>
  <si>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</si>
  <si>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</si>
  <si>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</si>
  <si>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</si>
  <si>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</si>
  <si>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</si>
  <si>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</si>
  <si>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</si>
  <si>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</si>
  <si>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</si>
  <si>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</si>
  <si>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</si>
  <si>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</si>
  <si>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</si>
  <si>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</si>
  <si>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</si>
  <si>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</si>
  <si>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</si>
  <si>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</si>
  <si>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</si>
  <si>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</si>
  <si>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</si>
  <si>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</si>
  <si>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</si>
  <si>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</si>
  <si>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</si>
  <si>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</si>
  <si>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</si>
  <si>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</si>
  <si>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</si>
  <si>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</si>
  <si>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</si>
  <si>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</si>
  <si>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</si>
  <si>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</si>
  <si>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</si>
  <si>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</si>
  <si>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</si>
  <si>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</si>
  <si>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</si>
  <si>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</si>
  <si>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</si>
  <si>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</si>
  <si>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</si>
  <si>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</si>
  <si>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</si>
  <si>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</si>
  <si>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</si>
  <si>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</si>
  <si>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</si>
  <si>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</si>
  <si>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</si>
  <si>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</si>
  <si>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</si>
  <si>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</si>
  <si>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</si>
  <si>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</si>
  <si>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</si>
  <si>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</si>
  <si>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</si>
  <si>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</si>
  <si>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</si>
  <si>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</si>
  <si>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</si>
  <si>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</si>
  <si>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</si>
  <si>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</si>
  <si>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</si>
  <si>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</si>
  <si>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</si>
  <si>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</si>
  <si>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</si>
  <si>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</si>
  <si>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</si>
  <si>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</si>
  <si>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</si>
  <si>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</si>
  <si>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</si>
  <si>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</si>
  <si>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</si>
  <si>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</si>
  <si>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</si>
  <si>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</si>
  <si>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</si>
  <si>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</si>
  <si>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</si>
  <si>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</si>
  <si>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</si>
  <si>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</si>
  <si>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</si>
  <si>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</si>
  <si>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</si>
  <si>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</si>
  <si>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</si>
  <si>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</si>
  <si>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</si>
  <si>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</si>
  <si>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</si>
  <si>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</si>
  <si>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</si>
  <si>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</si>
  <si>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</si>
  <si>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</si>
  <si>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</si>
  <si>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</si>
  <si>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</si>
  <si>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</si>
  <si>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</si>
  <si>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</si>
  <si>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</si>
  <si>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</si>
  <si>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</si>
  <si>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</si>
  <si>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</si>
  <si>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</si>
  <si>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</si>
  <si>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</si>
  <si>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</si>
  <si>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</si>
  <si>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</si>
  <si>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</si>
  <si>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</si>
  <si>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</si>
  <si>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</si>
  <si>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</si>
  <si>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</si>
  <si>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</si>
  <si>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</si>
  <si>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</si>
  <si>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</si>
  <si>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</si>
  <si>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</si>
  <si>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</si>
  <si>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</si>
  <si>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</si>
  <si>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</si>
  <si>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</si>
  <si>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</si>
  <si>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</si>
  <si>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</si>
  <si>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</si>
  <si>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</si>
  <si>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</si>
  <si>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</si>
  <si>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</si>
  <si>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</si>
  <si>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</si>
  <si>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</si>
  <si>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</si>
  <si>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</si>
  <si>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</si>
  <si>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</si>
  <si>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</si>
  <si>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</si>
  <si>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</si>
  <si>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</si>
  <si>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</si>
  <si>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</si>
  <si>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</si>
  <si>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</si>
  <si>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</si>
  <si>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</si>
  <si>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</si>
  <si>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</si>
  <si>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</si>
  <si>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</si>
  <si>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</si>
  <si>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</si>
  <si>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</si>
  <si>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</si>
  <si>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</si>
  <si>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</si>
  <si>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</si>
  <si>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</si>
  <si>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</si>
  <si>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</si>
  <si>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</si>
  <si>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</si>
  <si>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</si>
  <si>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</si>
  <si>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</si>
  <si>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</si>
  <si>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</si>
  <si>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</si>
  <si>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</si>
  <si>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</si>
  <si>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</si>
  <si>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</si>
  <si>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</si>
  <si>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</si>
  <si>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</si>
  <si>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</si>
  <si>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</si>
  <si>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</si>
  <si>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</si>
  <si>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</si>
  <si>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</si>
  <si>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</si>
  <si>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</si>
  <si>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</si>
  <si>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</si>
  <si>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</si>
  <si>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</si>
  <si>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</si>
  <si>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</si>
  <si>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</si>
  <si>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</si>
  <si>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</si>
  <si>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</si>
  <si>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</si>
  <si>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</si>
  <si>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</si>
  <si>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</si>
  <si>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</si>
  <si>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</si>
  <si>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</si>
  <si>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</si>
  <si>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</si>
  <si>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</si>
  <si>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</si>
  <si>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</si>
  <si>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</si>
  <si>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</si>
  <si>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</si>
  <si>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</si>
  <si>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</si>
  <si>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</si>
  <si>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</si>
  <si>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</si>
  <si>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</si>
  <si>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</si>
  <si>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</si>
  <si>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</si>
  <si>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</si>
  <si>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</si>
  <si>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</si>
  <si>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</si>
  <si>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</si>
  <si>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</si>
  <si>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</si>
  <si>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</si>
  <si>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</si>
  <si>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</si>
  <si>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</si>
  <si>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</si>
  <si>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</si>
  <si>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</si>
  <si>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</si>
  <si>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</si>
  <si>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</si>
  <si>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</si>
  <si>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</si>
  <si>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</si>
  <si>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</si>
  <si>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</si>
  <si>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</si>
  <si>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</si>
  <si>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</si>
  <si>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</si>
  <si>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</si>
  <si>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</si>
  <si>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</si>
  <si>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</si>
  <si>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</si>
  <si>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</si>
  <si>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</si>
  <si>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</si>
  <si>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</si>
  <si>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</si>
  <si>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</si>
  <si>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</si>
  <si>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</si>
  <si>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</si>
  <si>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</si>
  <si>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</si>
  <si>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</si>
  <si>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</si>
  <si>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</si>
  <si>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</si>
  <si>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</si>
  <si>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</si>
  <si>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</si>
  <si>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</si>
  <si>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</si>
  <si>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</si>
  <si>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</si>
  <si>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</si>
  <si>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</si>
  <si>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</si>
  <si>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</si>
  <si>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</si>
  <si>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</si>
  <si>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</si>
  <si>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</si>
  <si>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</si>
  <si>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</si>
  <si>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</si>
  <si>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</si>
  <si>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</si>
  <si>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</si>
  <si>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</si>
  <si>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</si>
  <si>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</si>
  <si>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</si>
  <si>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</si>
  <si>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</si>
  <si>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</si>
  <si>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</si>
  <si>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</si>
  <si>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</si>
  <si>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</si>
  <si>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</si>
  <si>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</si>
  <si>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</si>
  <si>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</si>
  <si>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</si>
  <si>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</si>
  <si>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</si>
  <si>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</si>
  <si>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</si>
  <si>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</si>
  <si>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</si>
  <si>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</si>
  <si>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</si>
  <si>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</si>
  <si>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</si>
  <si>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</si>
  <si>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</si>
  <si>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</si>
  <si>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</si>
  <si>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</si>
  <si>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</si>
  <si>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</si>
  <si>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</si>
  <si>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</si>
  <si>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</si>
  <si>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</si>
  <si>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</si>
  <si>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</si>
  <si>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</si>
  <si>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</si>
  <si>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</si>
  <si>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</si>
  <si>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</si>
  <si>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</si>
  <si>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</si>
  <si>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</si>
  <si>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</si>
  <si>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</si>
  <si>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</si>
  <si>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</si>
  <si>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</si>
  <si>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</si>
  <si>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</si>
  <si>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</si>
  <si>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</si>
  <si>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</si>
  <si>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</si>
  <si>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</si>
  <si>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</si>
  <si>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</si>
  <si>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</si>
  <si>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</si>
  <si>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</si>
  <si>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</si>
  <si>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</si>
  <si>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</si>
  <si>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</si>
  <si>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</si>
  <si>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</si>
  <si>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</si>
  <si>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</si>
  <si>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</si>
  <si>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</si>
  <si>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</si>
  <si>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</si>
  <si>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</si>
  <si>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</si>
  <si>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</si>
  <si>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</si>
  <si>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</si>
  <si>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</si>
  <si>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</si>
  <si>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</si>
  <si>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</si>
  <si>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</si>
  <si>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</si>
  <si>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</si>
  <si>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</si>
  <si>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</si>
  <si>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</si>
  <si>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</si>
  <si>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</si>
  <si>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</si>
  <si>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</si>
  <si>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</si>
  <si>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</si>
  <si>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</si>
  <si>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</si>
  <si>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</si>
  <si>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</si>
  <si>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</si>
  <si>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</si>
  <si>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</si>
  <si>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</si>
  <si>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</si>
  <si>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</si>
  <si>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</si>
  <si>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</si>
  <si>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</si>
  <si>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</si>
  <si>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</si>
  <si>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</si>
  <si>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</si>
  <si>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</si>
  <si>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</si>
  <si>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</si>
  <si>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</si>
  <si>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</si>
  <si>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</si>
  <si>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</si>
  <si>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</si>
  <si>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</si>
  <si>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</si>
  <si>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</si>
  <si>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</si>
  <si>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</si>
  <si>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</si>
  <si>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</si>
  <si>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</si>
  <si>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</si>
  <si>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</si>
  <si>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</si>
  <si>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</si>
  <si>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</si>
  <si>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</si>
  <si>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</si>
  <si>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</si>
  <si>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</si>
  <si>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</si>
  <si>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</si>
  <si>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</si>
  <si>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</si>
  <si>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</si>
  <si>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</si>
  <si>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</si>
  <si>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</si>
  <si>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</si>
  <si>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</si>
  <si>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</si>
  <si>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</si>
  <si>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</si>
  <si>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</si>
  <si>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</si>
  <si>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</si>
  <si>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</si>
  <si>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</si>
  <si>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</si>
  <si>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</si>
  <si>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</si>
  <si>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</si>
  <si>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</si>
  <si>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</si>
  <si>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</si>
  <si>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</si>
  <si>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</si>
  <si>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</si>
  <si>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</si>
  <si>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</si>
  <si>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</si>
  <si>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</si>
  <si>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</si>
  <si>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</si>
  <si>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</si>
  <si>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</si>
  <si>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</si>
  <si>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</si>
  <si>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</si>
  <si>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</si>
  <si>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</si>
  <si>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</si>
  <si>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</si>
  <si>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</si>
  <si>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</si>
  <si>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</si>
  <si>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</si>
  <si>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</si>
  <si>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</si>
  <si>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</si>
  <si>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</si>
  <si>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</si>
  <si>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</si>
  <si>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</si>
  <si>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</si>
  <si>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</si>
  <si>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</si>
  <si>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</si>
  <si>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</si>
  <si>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</si>
  <si>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</si>
  <si>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</si>
  <si>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</si>
  <si>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</si>
  <si>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</si>
  <si>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</si>
  <si>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</si>
  <si>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</si>
  <si>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</si>
  <si>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</si>
  <si>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</si>
  <si>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</si>
  <si>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</si>
  <si>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</si>
  <si>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</si>
  <si>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</si>
  <si>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</si>
  <si>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</si>
  <si>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</si>
  <si>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</si>
  <si>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</si>
  <si>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</si>
  <si>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</si>
  <si>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</si>
  <si>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</si>
  <si>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</si>
  <si>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</si>
  <si>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</si>
  <si>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</si>
  <si>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</si>
  <si>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</si>
  <si>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</si>
  <si>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</si>
  <si>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</si>
  <si>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</si>
  <si>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</si>
  <si>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</si>
  <si>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</si>
  <si>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</si>
  <si>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</si>
  <si>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</si>
  <si>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</si>
  <si>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</si>
  <si>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</si>
  <si>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</si>
  <si>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</si>
  <si>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</si>
  <si>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</si>
  <si>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</si>
  <si>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</si>
  <si>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</si>
  <si>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</si>
  <si>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</si>
  <si>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</si>
  <si>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</si>
  <si>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</si>
  <si>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</si>
  <si>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</si>
  <si>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</si>
  <si>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</si>
  <si>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</si>
  <si>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</si>
  <si>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</si>
  <si>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</si>
  <si>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</si>
  <si>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</si>
  <si>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</si>
  <si>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</si>
  <si>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</si>
  <si>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</si>
  <si>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</si>
  <si>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</si>
  <si>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</si>
  <si>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</si>
  <si>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</si>
  <si>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</si>
  <si>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</si>
  <si>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</si>
  <si>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</si>
  <si>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</si>
  <si>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</si>
  <si>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</si>
  <si>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</si>
  <si>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</si>
  <si>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</si>
  <si>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</si>
  <si>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</si>
  <si>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</si>
  <si>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</si>
  <si>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</si>
  <si>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</si>
  <si>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</si>
  <si>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</si>
  <si>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</si>
  <si>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</si>
  <si>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</si>
  <si>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</si>
  <si>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</si>
  <si>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</si>
  <si>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</si>
  <si>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</si>
  <si>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</si>
  <si>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</si>
  <si>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</si>
  <si>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</si>
  <si>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</si>
  <si>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</si>
  <si>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</si>
  <si>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</si>
  <si>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</si>
  <si>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</si>
  <si>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</si>
  <si>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</si>
  <si>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</si>
  <si>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</si>
  <si>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</si>
  <si>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</si>
  <si>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</si>
  <si>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</si>
  <si>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</si>
  <si>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</si>
  <si>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</si>
  <si>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</si>
  <si>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</si>
  <si>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</si>
  <si>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</si>
  <si>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</si>
  <si>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</si>
  <si>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</si>
  <si>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</si>
  <si>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</si>
  <si>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</si>
  <si>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</si>
  <si>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</si>
  <si>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</si>
  <si>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</si>
  <si>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</si>
  <si>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</si>
  <si>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</si>
  <si>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</si>
  <si>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</si>
  <si>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</si>
  <si>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</si>
  <si>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</si>
  <si>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</si>
  <si>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</si>
  <si>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</si>
  <si>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</si>
  <si>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</si>
  <si>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</si>
  <si>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</si>
  <si>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</si>
  <si>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</si>
  <si>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</si>
  <si>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</si>
  <si>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</si>
  <si>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</si>
  <si>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</si>
  <si>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</si>
  <si>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</si>
  <si>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</si>
  <si>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</si>
  <si>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</si>
  <si>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</si>
  <si>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</si>
  <si>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</si>
  <si>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</si>
  <si>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</si>
  <si>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</si>
  <si>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</si>
  <si>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</si>
  <si>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</si>
  <si>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</si>
  <si>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</si>
  <si>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</si>
  <si>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</si>
  <si>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</si>
  <si>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</si>
  <si>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</si>
  <si>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</si>
  <si>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</si>
  <si>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</si>
  <si>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</si>
  <si>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</si>
  <si>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</si>
  <si>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</si>
  <si>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</si>
  <si>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</si>
  <si>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</si>
  <si>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</si>
  <si>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</si>
  <si>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</si>
  <si>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</si>
  <si>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</si>
  <si>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</si>
  <si>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</si>
  <si>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</si>
  <si>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</si>
  <si>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</si>
  <si>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</si>
  <si>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</si>
  <si>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</si>
  <si>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</si>
  <si>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</si>
  <si>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</si>
  <si>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</si>
  <si>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</si>
  <si>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</si>
  <si>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</si>
  <si>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</si>
  <si>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</si>
  <si>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</si>
  <si>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</si>
  <si>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</si>
  <si>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</si>
  <si>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</si>
  <si>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</si>
  <si>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</si>
  <si>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</si>
  <si>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</si>
  <si>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</si>
  <si>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</si>
  <si>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</si>
  <si>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</si>
  <si>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</si>
  <si>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</si>
  <si>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</si>
  <si>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</si>
  <si>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</si>
  <si>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</si>
  <si>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</si>
  <si>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</si>
  <si>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</si>
  <si>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</si>
  <si>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</si>
  <si>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</si>
  <si>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</si>
  <si>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</si>
  <si>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</si>
  <si>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</si>
  <si>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</si>
  <si>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</si>
  <si>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</si>
  <si>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</si>
  <si>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</si>
  <si>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</si>
  <si>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</si>
  <si>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</si>
  <si>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</si>
  <si>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</si>
  <si>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</si>
  <si>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</si>
  <si>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</si>
  <si>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</si>
  <si>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</si>
  <si>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</si>
  <si>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</si>
  <si>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</si>
  <si>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</si>
  <si>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</si>
  <si>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</si>
  <si>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</si>
  <si>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</si>
  <si>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</si>
  <si>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</si>
  <si>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</si>
  <si>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</si>
  <si>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</si>
  <si>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</si>
  <si>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</si>
  <si>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</si>
  <si>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</si>
  <si>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</si>
  <si>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</si>
  <si>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</si>
  <si>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</si>
  <si>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</si>
  <si>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</si>
  <si>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</si>
  <si>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</si>
  <si>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</si>
  <si>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</si>
  <si>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</si>
  <si>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</si>
  <si>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</si>
  <si>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</si>
  <si>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</si>
  <si>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</si>
  <si>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</si>
  <si>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</si>
  <si>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</si>
  <si>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</si>
  <si>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28 feb. 2025</t>
  </si>
  <si>
    <t>Tribunales de Justicia</t>
  </si>
  <si>
    <t>COMUNIDAD VALENCIANA</t>
  </si>
  <si>
    <t>Provincias</t>
  </si>
  <si>
    <t>VALENCIA</t>
  </si>
  <si>
    <t>Resumenes por Partidos Judiciales</t>
  </si>
  <si>
    <t>MISLATA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</si>
</sst>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1</v>
      </c>
      <c r="E5" s="372"/>
      <c r="F5" s="3"/>
      <c r="H5" t="s">
        <v>424</v>
      </c>
      <c r="Q5" s="346">
        <v>3</v>
      </c>
      <c r="R5" s="346">
        <v>2</v>
      </c>
      <c r="S5" t="b">
        <f>AND(Q5&gt;=TrimIni,Q5&lt;=TrimFin)</f>
        <v>1</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1</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qwf0knwc02lZBCJEBsgxMrbiEjAwazsNsCVpeAON5r4KAUdfKK0cexvdYe6bUB/88mO59W6l2xPdnWVixjLV9g==" saltValue="8uK+N3mF6REEFgkcNrqkF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1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35</v>
      </c>
      <c r="D10" s="225">
        <f>IF(ISNUMBER(Datos!I10),Datos!I10," - ")</f>
        <v>35</v>
      </c>
      <c r="E10" s="226">
        <f>IF(ISNUMBER(Datos!J10),Datos!J10," - ")</f>
        <v>9</v>
      </c>
      <c r="F10" s="226">
        <f>IF(ISNUMBER(Datos!K10),Datos!K10," - ")</f>
        <v>32</v>
      </c>
      <c r="G10" s="1034" t="str">
        <f>IF(Datos!E10&lt;&gt;"",Datos!E10,Datos!D10)</f>
        <v>37</v>
      </c>
      <c r="H10" s="227">
        <f>IF(ISNUMBER(Datos!L10),Datos!L10," - ")</f>
        <v>12</v>
      </c>
      <c r="I10" s="1044" t="str">
        <f>IF(ISNUMBER(Datos!AS10/Datos!BM10),Datos!AS10/Datos!BM10," - ")</f>
        <v xml:space="preserve"> - </v>
      </c>
      <c r="J10" s="1045">
        <f>IF(ISNUMBER(Datos!BY10/Datos!CN10),Datos!BY10/Datos!CN10," - ")</f>
        <v>0</v>
      </c>
      <c r="K10" s="230">
        <f t="shared" ref="K10:K12" si="1">IF(ISNUMBER((E10-F10)/C10),(E10-F10)/C10," - ")</f>
        <v>-0.65714285714285714</v>
      </c>
      <c r="L10" s="1025">
        <f>IF(ISNUMBER(NºAsuntos!I10/NºAsuntos!G10),(NºAsuntos!I10/NºAsuntos!G10)*11," - ")</f>
        <v>4.125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6.7118644067796618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35</v>
      </c>
      <c r="D13" s="1049">
        <f>SUBTOTAL(9,D9:D12)</f>
        <v>35</v>
      </c>
      <c r="E13" s="1050">
        <f>SUBTOTAL(9,E9:E12)</f>
        <v>9</v>
      </c>
      <c r="F13" s="1051">
        <f>SUBTOTAL(9,F9:F12)</f>
        <v>32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797</v>
      </c>
      <c r="D16" s="225">
        <f>IF(ISNUMBER(IF(D_I="SI",Datos!I16,Datos!I16+Datos!AC16)),IF(D_I="SI",Datos!I16,Datos!I16+Datos!AC16)," - ")</f>
        <v>1032</v>
      </c>
      <c r="E16" s="226">
        <f>IF(ISNUMBER(IF(D_I="SI",Datos!J16,Datos!J16+Datos!AD16)),IF(D_I="SI",Datos!J16,Datos!J16+Datos!AD16)," - ")</f>
        <v>3170</v>
      </c>
      <c r="F16" s="226">
        <f>IF(ISNUMBER(IF(D_I="SI",Datos!K16,Datos!K16+Datos!AE16)),IF(D_I="SI",Datos!K16,Datos!K16+Datos!AE16)," - ")</f>
        <v>3202</v>
      </c>
      <c r="G16" s="1034" t="str">
        <f>IF(Datos!E16&lt;&gt;"",Datos!E16,Datos!D16)</f>
        <v>04</v>
      </c>
      <c r="H16" s="227">
        <f>IF(ISNUMBER(IF(D_I="SI",Datos!L16,Datos!L16+Datos!AF16)),IF(D_I="SI",Datos!L16,Datos!L16+Datos!AF16)," - ")</f>
        <v>765</v>
      </c>
      <c r="I16" s="1044" t="str">
        <f>IF(ISNUMBER(Datos!AS16/Datos!BM16),Datos!AS16/Datos!BM16," - ")</f>
        <v xml:space="preserve"> - </v>
      </c>
      <c r="J16" s="1045">
        <f>IF(ISNUMBER(Datos!BY16/Datos!CN16),Datos!BY16/Datos!CN16," - ")</f>
        <v>0</v>
      </c>
      <c r="K16" s="230">
        <f t="shared" si="3"/>
        <v>-4.0150564617314928E-2</v>
      </c>
      <c r="L16" s="1025">
        <f>IF(ISNUMBER(NºAsuntos!I16/NºAsuntos!G16),(NºAsuntos!I16/NºAsuntos!G16)*11," - ")</f>
        <v>2.6280449718925674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110</v>
      </c>
      <c r="D17" s="225">
        <f>IF(ISNUMBER(IF(D_I="SI",Datos!I17,Datos!I17+Datos!AC17)),IF(D_I="SI",Datos!I17,Datos!I17+Datos!AC17)," - ")</f>
        <v>107</v>
      </c>
      <c r="E17" s="226">
        <f>IF(ISNUMBER(IF(D_I="SI",Datos!J17,Datos!J17+Datos!AD17)),IF(D_I="SI",Datos!J17,Datos!J17+Datos!AD17)," - ")</f>
        <v>102</v>
      </c>
      <c r="F17" s="226">
        <f>IF(ISNUMBER(IF(D_I="SI",Datos!K17,Datos!K17+Datos!AE17)),IF(D_I="SI",Datos!K17,Datos!K17+Datos!AE17)," - ")</f>
        <v>202</v>
      </c>
      <c r="G17" s="1034" t="str">
        <f>IF(Datos!E17&lt;&gt;"",Datos!E17,Datos!D17)</f>
        <v>37</v>
      </c>
      <c r="H17" s="227">
        <f>IF(ISNUMBER(IF(D_I="SI",Datos!L17,Datos!L17+Datos!AF17)),IF(D_I="SI",Datos!L17,Datos!L17+Datos!AF17)," - ")</f>
        <v>10</v>
      </c>
      <c r="I17" s="1044" t="str">
        <f>IF(ISNUMBER(Datos!AS17/Datos!BM17),Datos!AS17/Datos!BM17," - ")</f>
        <v xml:space="preserve"> - </v>
      </c>
      <c r="J17" s="1045" t="str">
        <f>IF(ISNUMBER((Datos!BY17+Datos!BZ17)/Datos!CN17),(Datos!BY17+Datos!BZ17)/Datos!CN17," - ")</f>
        <v xml:space="preserve"> - </v>
      </c>
      <c r="K17" s="230">
        <f t="shared" si="3"/>
        <v>-0.90909090909090906</v>
      </c>
      <c r="L17" s="1025">
        <f>IF(ISNUMBER(NºAsuntos!I17/NºAsuntos!G17),(NºAsuntos!I17/NºAsuntos!G17)*11," - ")</f>
        <v>0.54455445544554459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907</v>
      </c>
      <c r="D18" s="1049">
        <f>SUBTOTAL(9,D15:D17)</f>
        <v>1139</v>
      </c>
      <c r="E18" s="1050">
        <f>SUBTOTAL(9,E15:E17)</f>
        <v>3272</v>
      </c>
      <c r="F18" s="1050">
        <f>SUBTOTAL(9,F15:F17)</f>
        <v>3404</v>
      </c>
      <c r="G18" s="1052" t="str">
        <f ca="1">INDIRECT(CONCATENATE("G",ROW()-1))</f>
        <v>37</v>
      </c>
      <c r="H18" s="1053">
        <f ca="1">SUMIF(G$14:G17,G18,H$14:H17)</f>
        <v>10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942</v>
      </c>
      <c r="D19" s="1071">
        <f>SUBTOTAL(9,D9:D18)</f>
        <v>1174</v>
      </c>
      <c r="E19" s="1072">
        <f>SUBTOTAL(9,E9:E18)</f>
        <v>3281</v>
      </c>
      <c r="F19" s="1072">
        <f>SUBTOTAL(9,F9:F18)</f>
        <v>3436</v>
      </c>
      <c r="G19" s="1073"/>
      <c r="H19" s="1074">
        <f ca="1">SUMIF(B9:B18,"TOTAL",H9:H18)</f>
        <v>10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28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gvxjRIqihxvLcxy/vaFNDPy1RKThvvJMkpqshUrL3yvjoncHThEyTICC7lbvjSeFKdrbQ9x1Sh/5M5acP25QgQ==" saltValue="WFyO74keXSbbNwUq54E2e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qiEZUcLojg3EIuuWa2K/lb8RpA/+kxT1Ljypeol98BaCFDfdnUPazhWGdJsSJOic9CF9E7wa17s4BBZo6/tLwQ==" saltValue="1vnolEX9AdF0m19efFWw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35</v>
      </c>
      <c r="J10" s="181">
        <v>9</v>
      </c>
      <c r="K10" s="181">
        <v>32</v>
      </c>
      <c r="L10" s="181">
        <v>12</v>
      </c>
      <c r="M10" s="181">
        <v>6</v>
      </c>
      <c r="N10" s="181">
        <v>18</v>
      </c>
      <c r="O10" s="181">
        <v>6</v>
      </c>
      <c r="P10" s="181">
        <v>2</v>
      </c>
      <c r="Q10" s="181">
        <v>16</v>
      </c>
      <c r="R10" s="181">
        <v>16</v>
      </c>
      <c r="S10" s="181">
        <v>30</v>
      </c>
      <c r="T10" s="181">
        <v>37</v>
      </c>
      <c r="U10" s="181">
        <v>17</v>
      </c>
      <c r="V10" s="181">
        <v>35</v>
      </c>
      <c r="W10" s="181">
        <v>10</v>
      </c>
      <c r="X10" s="188">
        <v>9</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30</v>
      </c>
      <c r="AZ10" s="129">
        <f t="shared" si="0"/>
        <v>37</v>
      </c>
      <c r="BA10" s="129">
        <f t="shared" si="0"/>
        <v>17</v>
      </c>
      <c r="BB10" s="129">
        <f t="shared" si="0"/>
        <v>35</v>
      </c>
      <c r="BC10" s="125">
        <f t="shared" si="0"/>
        <v>10</v>
      </c>
      <c r="BD10" s="126">
        <f>IF(ISNUMBER(BA10/AZ10),BA10/AZ10," - ")</f>
        <v>0.45945945945945948</v>
      </c>
      <c r="BE10" s="127">
        <f>IF(ISNUMBER(BB10/BA10),BB10/BA10, " - ")</f>
        <v>2.0588235294117645</v>
      </c>
      <c r="BF10" s="127">
        <f>IF(ISNUMBER(BC10/BA10),BC10/BA10, " - ")</f>
        <v>0.58823529411764708</v>
      </c>
      <c r="BG10" s="196">
        <f>IF(ISNUMBER((AY10+AZ10)/BA10),(AY10+AZ10)/BA10," - ")</f>
        <v>3.9411764705882355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1862</v>
      </c>
      <c r="J12" s="183">
        <v>4201</v>
      </c>
      <c r="K12" s="183">
        <v>3734</v>
      </c>
      <c r="L12" s="183">
        <v>2329</v>
      </c>
      <c r="M12" s="183">
        <v>895</v>
      </c>
      <c r="N12" s="183">
        <v>1734</v>
      </c>
      <c r="O12" s="181">
        <v>1938</v>
      </c>
      <c r="P12" s="183">
        <v>940</v>
      </c>
      <c r="Q12" s="183">
        <v>1505</v>
      </c>
      <c r="R12" s="183">
        <v>4245</v>
      </c>
      <c r="S12" s="183">
        <v>1713</v>
      </c>
      <c r="T12" s="183">
        <v>3557</v>
      </c>
      <c r="U12" s="183">
        <v>3396</v>
      </c>
      <c r="V12" s="183">
        <v>1862</v>
      </c>
      <c r="W12" s="183">
        <v>647</v>
      </c>
      <c r="X12" s="189">
        <v>1659</v>
      </c>
      <c r="Y12" s="191">
        <v>57</v>
      </c>
      <c r="Z12" s="181">
        <v>245</v>
      </c>
      <c r="AA12" s="181">
        <v>219</v>
      </c>
      <c r="AB12" s="181">
        <v>83</v>
      </c>
      <c r="AC12" s="183">
        <v>0</v>
      </c>
      <c r="AD12" s="183">
        <v>0</v>
      </c>
      <c r="AE12" s="183">
        <v>0</v>
      </c>
      <c r="AF12" s="189">
        <v>0</v>
      </c>
      <c r="AG12" s="202">
        <v>69</v>
      </c>
      <c r="AH12" s="183">
        <v>211</v>
      </c>
      <c r="AI12" s="183">
        <v>223</v>
      </c>
      <c r="AJ12" s="203">
        <v>57</v>
      </c>
      <c r="AK12" s="182">
        <v>0</v>
      </c>
      <c r="AL12" s="183">
        <v>0</v>
      </c>
      <c r="AM12" s="183">
        <v>0</v>
      </c>
      <c r="AN12" s="189">
        <v>0</v>
      </c>
      <c r="AO12" s="259">
        <v>4</v>
      </c>
      <c r="AP12" s="155">
        <v>4</v>
      </c>
      <c r="AQ12" s="155">
        <v>4</v>
      </c>
      <c r="AR12" s="154">
        <v>4</v>
      </c>
      <c r="AS12" s="340" t="s">
        <v>802</v>
      </c>
      <c r="AT12" s="203"/>
      <c r="AU12" s="202"/>
      <c r="AV12" s="203"/>
      <c r="AW12" s="202"/>
      <c r="AX12" s="203"/>
      <c r="AY12" s="126">
        <f t="shared" si="1"/>
        <v>1782</v>
      </c>
      <c r="AZ12" s="127">
        <f t="shared" si="1"/>
        <v>3768</v>
      </c>
      <c r="BA12" s="127">
        <f t="shared" si="1"/>
        <v>3619</v>
      </c>
      <c r="BB12" s="127">
        <f t="shared" si="1"/>
        <v>1919</v>
      </c>
      <c r="BC12" s="125">
        <f>IF(ISNUMBER(X12),X12," - ")</f>
        <v>1659</v>
      </c>
      <c r="BD12" s="126">
        <f t="shared" si="2"/>
        <v>0.96045647558386416</v>
      </c>
      <c r="BE12" s="127">
        <f t="shared" si="3"/>
        <v>0.53025697706548769</v>
      </c>
      <c r="BF12" s="127">
        <f t="shared" si="4"/>
        <v>0.4584139264990329</v>
      </c>
      <c r="BG12" s="196">
        <f t="shared" si="5"/>
        <v>1.5335728101685548</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1897</v>
      </c>
      <c r="J13" s="184">
        <f t="shared" si="6"/>
        <v>4210</v>
      </c>
      <c r="K13" s="184">
        <f t="shared" si="6"/>
        <v>3766</v>
      </c>
      <c r="L13" s="184">
        <f t="shared" si="6"/>
        <v>2341</v>
      </c>
      <c r="M13" s="184">
        <f t="shared" si="6"/>
        <v>901</v>
      </c>
      <c r="N13" s="184">
        <f t="shared" si="6"/>
        <v>1752</v>
      </c>
      <c r="O13" s="184">
        <f t="shared" si="6"/>
        <v>1944</v>
      </c>
      <c r="P13" s="184">
        <f t="shared" si="6"/>
        <v>942</v>
      </c>
      <c r="Q13" s="184">
        <f t="shared" si="6"/>
        <v>1521</v>
      </c>
      <c r="R13" s="184">
        <f t="shared" si="6"/>
        <v>4261</v>
      </c>
      <c r="S13" s="184">
        <f t="shared" si="6"/>
        <v>1743</v>
      </c>
      <c r="T13" s="184">
        <f t="shared" si="6"/>
        <v>3594</v>
      </c>
      <c r="U13" s="184">
        <f t="shared" si="6"/>
        <v>3413</v>
      </c>
      <c r="V13" s="184">
        <f t="shared" si="6"/>
        <v>1897</v>
      </c>
      <c r="W13" s="184">
        <f t="shared" si="6"/>
        <v>657</v>
      </c>
      <c r="X13" s="184">
        <f t="shared" si="6"/>
        <v>1668</v>
      </c>
      <c r="Y13" s="184">
        <f t="shared" si="6"/>
        <v>57</v>
      </c>
      <c r="Z13" s="184">
        <f t="shared" si="6"/>
        <v>245</v>
      </c>
      <c r="AA13" s="184">
        <f t="shared" si="6"/>
        <v>219</v>
      </c>
      <c r="AB13" s="184">
        <f t="shared" si="6"/>
        <v>83</v>
      </c>
      <c r="AC13" s="184">
        <f t="shared" si="6"/>
        <v>0</v>
      </c>
      <c r="AD13" s="184">
        <f t="shared" si="6"/>
        <v>0</v>
      </c>
      <c r="AE13" s="184">
        <f t="shared" si="6"/>
        <v>0</v>
      </c>
      <c r="AF13" s="184">
        <f>SUBTOTAL(9,AF9:AF12)</f>
        <v>0</v>
      </c>
      <c r="AG13" s="184">
        <f t="shared" ref="AG13:AT13" si="7">SUBTOTAL(9,AG8:AG12)</f>
        <v>69</v>
      </c>
      <c r="AH13" s="184">
        <f t="shared" si="7"/>
        <v>211</v>
      </c>
      <c r="AI13" s="184">
        <f t="shared" si="7"/>
        <v>223</v>
      </c>
      <c r="AJ13" s="184">
        <f t="shared" si="7"/>
        <v>57</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1812</v>
      </c>
      <c r="AZ13" s="184">
        <f>SUBTOTAL(9,AZ8:AZ12)</f>
        <v>3805</v>
      </c>
      <c r="BA13" s="184">
        <f>SUBTOTAL(9,BA8:BA12)</f>
        <v>3636</v>
      </c>
      <c r="BB13" s="184">
        <f>SUBTOTAL(9,BB8:BB12)</f>
        <v>1954</v>
      </c>
      <c r="BC13" s="184">
        <f>SUBTOTAL(9,BC8:BC12)</f>
        <v>1669</v>
      </c>
      <c r="BD13" s="205">
        <f>IF(ISNUMBER(BA13/AZ13),BA13/AZ13," - ")</f>
        <v>0.95558475689881739</v>
      </c>
      <c r="BE13" s="206">
        <f>IF(ISNUMBER(BB13/BA13),BB13/BA13, " - ")</f>
        <v>0.53740374037403738</v>
      </c>
      <c r="BF13" s="206">
        <f>IF(ISNUMBER(BC13/BA13),BC13/BA13, " - ")</f>
        <v>0.45902090209020902</v>
      </c>
      <c r="BG13" s="207">
        <f>IF(ISNUMBER((AY13+AZ13)/BA13),(AY13+AZ13)/BA13," - ")</f>
        <v>1.5448294829482949</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1032</v>
      </c>
      <c r="J16" s="183">
        <v>3170</v>
      </c>
      <c r="K16" s="183">
        <v>3202</v>
      </c>
      <c r="L16" s="183">
        <v>765</v>
      </c>
      <c r="M16" s="183">
        <v>415</v>
      </c>
      <c r="N16" s="183">
        <v>2103</v>
      </c>
      <c r="O16" s="181">
        <v>148</v>
      </c>
      <c r="P16" s="183">
        <v>197</v>
      </c>
      <c r="Q16" s="183">
        <v>184</v>
      </c>
      <c r="R16" s="183">
        <v>152</v>
      </c>
      <c r="S16" s="183">
        <v>783</v>
      </c>
      <c r="T16" s="183">
        <v>3501</v>
      </c>
      <c r="U16" s="183">
        <v>3240</v>
      </c>
      <c r="V16" s="183">
        <v>1032</v>
      </c>
      <c r="W16" s="183">
        <v>404</v>
      </c>
      <c r="X16" s="189">
        <v>2018</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4</v>
      </c>
      <c r="AP16" s="155">
        <v>4</v>
      </c>
      <c r="AQ16" s="155">
        <v>4</v>
      </c>
      <c r="AR16" s="155">
        <v>4</v>
      </c>
      <c r="AS16" s="340" t="s">
        <v>487</v>
      </c>
      <c r="AT16" s="203"/>
      <c r="AU16" s="202"/>
      <c r="AV16" s="203"/>
      <c r="AW16" s="202"/>
      <c r="AX16" s="203"/>
      <c r="AY16" s="126">
        <f t="shared" si="9"/>
        <v>783</v>
      </c>
      <c r="AZ16" s="127">
        <f t="shared" si="9"/>
        <v>3501</v>
      </c>
      <c r="BA16" s="127">
        <f t="shared" si="9"/>
        <v>3240</v>
      </c>
      <c r="BB16" s="127">
        <f t="shared" si="9"/>
        <v>1032</v>
      </c>
      <c r="BC16" s="125">
        <f>IF(ISNUMBER(W16),W16," - ")</f>
        <v>404</v>
      </c>
      <c r="BD16" s="126">
        <f t="shared" ref="BD16" si="11">IF(ISNUMBER(BA16/AZ16),BA16/AZ16," - ")</f>
        <v>0.92544987146529567</v>
      </c>
      <c r="BE16" s="127">
        <f t="shared" ref="BE16" si="12">IF(ISNUMBER(BB16/BA16),BB16/BA16, " - ")</f>
        <v>0.31851851851851853</v>
      </c>
      <c r="BF16" s="127">
        <f t="shared" ref="BF16" si="13">IF(ISNUMBER(BC16/BA16),BC16/BA16, " - ")</f>
        <v>0.12469135802469136</v>
      </c>
      <c r="BG16" s="196">
        <f t="shared" si="10"/>
        <v>1.3222222222222222</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107</v>
      </c>
      <c r="J17" s="183">
        <v>102</v>
      </c>
      <c r="K17" s="183">
        <v>202</v>
      </c>
      <c r="L17" s="183">
        <v>10</v>
      </c>
      <c r="M17" s="183">
        <v>15</v>
      </c>
      <c r="N17" s="183">
        <v>71</v>
      </c>
      <c r="O17" s="183">
        <v>2</v>
      </c>
      <c r="P17" s="183">
        <v>2</v>
      </c>
      <c r="Q17" s="183">
        <v>2</v>
      </c>
      <c r="R17" s="183">
        <v>0</v>
      </c>
      <c r="S17" s="183">
        <v>92</v>
      </c>
      <c r="T17" s="183">
        <v>368</v>
      </c>
      <c r="U17" s="183">
        <v>354</v>
      </c>
      <c r="V17" s="183">
        <v>107</v>
      </c>
      <c r="W17" s="183">
        <v>40</v>
      </c>
      <c r="X17" s="189">
        <v>198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92</v>
      </c>
      <c r="AZ17" s="129">
        <f t="shared" si="14"/>
        <v>368</v>
      </c>
      <c r="BA17" s="129">
        <f t="shared" si="14"/>
        <v>354</v>
      </c>
      <c r="BB17" s="129">
        <f t="shared" si="14"/>
        <v>107</v>
      </c>
      <c r="BC17" s="125">
        <f>IF(ISNUMBER(W17),W17," - ")</f>
        <v>40</v>
      </c>
      <c r="BD17" s="126">
        <f>IF(ISNUMBER(BA17/AZ17),BA17/AZ17," - ")</f>
        <v>0.96195652173913049</v>
      </c>
      <c r="BE17" s="127">
        <f>IF(ISNUMBER(BB17/BA17),BB17/BA17, " - ")</f>
        <v>0.30225988700564971</v>
      </c>
      <c r="BF17" s="127">
        <f>IF(ISNUMBER(BC17/BA17),BC17/BA17, " - ")</f>
        <v>0.11299435028248588</v>
      </c>
      <c r="BG17" s="196">
        <f>IF(ISNUMBER((AY17+AZ17)/BA17),(AY17+AZ17)/BA17," - ")</f>
        <v>1.2994350282485876</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1139</v>
      </c>
      <c r="J18" s="184">
        <f t="shared" si="15"/>
        <v>3272</v>
      </c>
      <c r="K18" s="184">
        <f t="shared" si="15"/>
        <v>3404</v>
      </c>
      <c r="L18" s="184">
        <f t="shared" si="15"/>
        <v>775</v>
      </c>
      <c r="M18" s="184">
        <f t="shared" si="15"/>
        <v>430</v>
      </c>
      <c r="N18" s="184">
        <f t="shared" si="15"/>
        <v>2174</v>
      </c>
      <c r="O18" s="184">
        <f t="shared" si="15"/>
        <v>150</v>
      </c>
      <c r="P18" s="184">
        <f t="shared" si="15"/>
        <v>199</v>
      </c>
      <c r="Q18" s="184">
        <f t="shared" si="15"/>
        <v>186</v>
      </c>
      <c r="R18" s="184">
        <f t="shared" si="15"/>
        <v>152</v>
      </c>
      <c r="S18" s="184">
        <f t="shared" si="15"/>
        <v>875</v>
      </c>
      <c r="T18" s="184">
        <f t="shared" si="15"/>
        <v>3869</v>
      </c>
      <c r="U18" s="184">
        <f t="shared" si="15"/>
        <v>3594</v>
      </c>
      <c r="V18" s="184">
        <f t="shared" si="15"/>
        <v>1139</v>
      </c>
      <c r="W18" s="184">
        <f t="shared" si="15"/>
        <v>444</v>
      </c>
      <c r="X18" s="184">
        <f t="shared" si="15"/>
        <v>2216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875</v>
      </c>
      <c r="AZ18" s="184">
        <f>SUBTOTAL(9,AZ14:AZ17)</f>
        <v>3869</v>
      </c>
      <c r="BA18" s="184">
        <f>SUBTOTAL(9,BA14:BA17)</f>
        <v>3594</v>
      </c>
      <c r="BB18" s="184">
        <f>SUBTOTAL(9,BB14:BB17)</f>
        <v>1139</v>
      </c>
      <c r="BC18" s="184">
        <f>SUBTOTAL(9,BC14:BC17)</f>
        <v>444</v>
      </c>
      <c r="BD18" s="205">
        <f>IF(ISNUMBER(BA18/AZ18),BA18/AZ18," - ")</f>
        <v>0.92892220211941068</v>
      </c>
      <c r="BE18" s="206">
        <f>IF(ISNUMBER(BB18/BA18),BB18/BA18, " - ")</f>
        <v>0.31691708402893709</v>
      </c>
      <c r="BF18" s="206">
        <f>IF(ISNUMBER(BC18/BA18),BC18/BA18, " - ")</f>
        <v>0.12353923205342238</v>
      </c>
      <c r="BG18" s="207">
        <f>IF(ISNUMBER((AY18+AZ18)/BA18),(AY18+AZ18)/BA18," - ")</f>
        <v>1.3199777406789093</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3036</v>
      </c>
      <c r="J19" s="134">
        <f t="shared" si="18"/>
        <v>7482</v>
      </c>
      <c r="K19" s="134">
        <f t="shared" si="18"/>
        <v>7170</v>
      </c>
      <c r="L19" s="134">
        <f t="shared" si="18"/>
        <v>3116</v>
      </c>
      <c r="M19" s="134">
        <f t="shared" si="18"/>
        <v>1331</v>
      </c>
      <c r="N19" s="134">
        <f t="shared" si="18"/>
        <v>3926</v>
      </c>
      <c r="O19" s="134">
        <f t="shared" si="18"/>
        <v>2094</v>
      </c>
      <c r="P19" s="134">
        <f t="shared" si="18"/>
        <v>1141</v>
      </c>
      <c r="Q19" s="134">
        <f t="shared" si="18"/>
        <v>1707</v>
      </c>
      <c r="R19" s="134">
        <f t="shared" si="18"/>
        <v>4413</v>
      </c>
      <c r="S19" s="134">
        <f t="shared" si="18"/>
        <v>2618</v>
      </c>
      <c r="T19" s="134">
        <f t="shared" si="18"/>
        <v>7463</v>
      </c>
      <c r="U19" s="134">
        <f t="shared" si="18"/>
        <v>7007</v>
      </c>
      <c r="V19" s="134">
        <f t="shared" si="18"/>
        <v>3036</v>
      </c>
      <c r="W19" s="134">
        <f t="shared" si="18"/>
        <v>1101</v>
      </c>
      <c r="X19" s="134">
        <f t="shared" si="18"/>
        <v>3884</v>
      </c>
      <c r="Y19" s="134">
        <f t="shared" si="18"/>
        <v>57</v>
      </c>
      <c r="Z19" s="134">
        <f t="shared" si="18"/>
        <v>245</v>
      </c>
      <c r="AA19" s="134">
        <f t="shared" si="18"/>
        <v>219</v>
      </c>
      <c r="AB19" s="134">
        <f t="shared" si="18"/>
        <v>83</v>
      </c>
      <c r="AC19" s="134">
        <f t="shared" si="18"/>
        <v>0</v>
      </c>
      <c r="AD19" s="134">
        <f t="shared" si="18"/>
        <v>0</v>
      </c>
      <c r="AE19" s="134">
        <f t="shared" si="18"/>
        <v>0</v>
      </c>
      <c r="AF19" s="134">
        <f t="shared" si="18"/>
        <v>0</v>
      </c>
      <c r="AG19" s="134">
        <f t="shared" si="18"/>
        <v>69</v>
      </c>
      <c r="AH19" s="134">
        <f t="shared" si="18"/>
        <v>211</v>
      </c>
      <c r="AI19" s="134">
        <f t="shared" si="18"/>
        <v>223</v>
      </c>
      <c r="AJ19" s="134">
        <f t="shared" si="18"/>
        <v>57</v>
      </c>
      <c r="AK19" s="134">
        <f t="shared" si="18"/>
        <v>0</v>
      </c>
      <c r="AL19" s="134">
        <f t="shared" si="18"/>
        <v>0</v>
      </c>
      <c r="AM19" s="134">
        <f t="shared" si="18"/>
        <v>0</v>
      </c>
      <c r="AN19" s="210">
        <f t="shared" si="18"/>
        <v>0</v>
      </c>
      <c r="AO19" s="211">
        <v>5</v>
      </c>
      <c r="AP19" s="211">
        <v>4</v>
      </c>
      <c r="AQ19" s="211">
        <v>4</v>
      </c>
      <c r="AR19" s="211">
        <v>4</v>
      </c>
      <c r="AS19" s="153">
        <f t="shared" si="18"/>
        <v>0</v>
      </c>
      <c r="AT19" s="153">
        <f t="shared" si="18"/>
        <v>0</v>
      </c>
      <c r="AU19" s="211"/>
      <c r="AV19" s="212"/>
      <c r="AW19" s="211"/>
      <c r="AX19" s="212"/>
      <c r="AY19" s="133">
        <f>SUBTOTAL(9,AY9:AY18)</f>
        <v>2687</v>
      </c>
      <c r="AZ19" s="134">
        <f>SUBTOTAL(9,AZ9:AZ18)</f>
        <v>7674</v>
      </c>
      <c r="BA19" s="134">
        <f>SUBTOTAL(9,BA9:BA18)</f>
        <v>7230</v>
      </c>
      <c r="BB19" s="134">
        <f>SUBTOTAL(9,BB9:BB18)</f>
        <v>3093</v>
      </c>
      <c r="BC19" s="135">
        <f>SUBTOTAL(9,BC9:BC18)</f>
        <v>2113</v>
      </c>
      <c r="BD19" s="213">
        <f>IF(ISNUMBER(BA19/AZ19),BA19/AZ19," - ")</f>
        <v>0.94214229867083654</v>
      </c>
      <c r="BE19" s="210">
        <f>IF(ISNUMBER(BB19/BA19),BB19/BA19, " - ")</f>
        <v>0.42780082987551865</v>
      </c>
      <c r="BF19" s="210">
        <f>IF(ISNUMBER(BC19/BA19),BC19/BA19, " - ")</f>
        <v>0.29225449515905949</v>
      </c>
      <c r="BG19" s="135">
        <f>IF(ISNUMBER((AY19+AZ19)/BA19),(AY19+AZ19)/BA19," - ")</f>
        <v>1.4330567081604426</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TtF23FZWJESI5e+a9PqwJy/zTPzUqnOsSrm/UUejPvF+bC9dymtu/LMu++sHOu1voQv6dYyf74QdAJFCNrhGA==" saltValue="x441r1igrIkocqaKPZCID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sHwLLqXgyduMgG2woKo0YWMrBCktQED7gJs5OGV0pmjcohzA0+Su0YfKQ5og8Hnk2D4SwuXbc19Vr0hl9ec2Q==" saltValue="Ob7F9Ds6FWNLNZKDpTedS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MISLATA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1200</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35</v>
      </c>
      <c r="G10" s="333">
        <f>IF(ISNUMBER(Datos!I10),Datos!I10," - ")</f>
        <v>35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32</v>
      </c>
      <c r="AC10" s="226">
        <f>IF(ISNUMBER(Datos!Q10),Datos!Q10," - ")</f>
        <v>16</v>
      </c>
      <c r="AD10" s="334"/>
      <c r="AE10" s="484"/>
      <c r="AF10" s="332">
        <f>IF(ISNUMBER(Datos!L10),Datos!L10,"-")</f>
        <v>12</v>
      </c>
      <c r="AG10" s="334"/>
      <c r="AH10" s="334"/>
      <c r="AI10" s="334"/>
      <c r="AJ10" s="334"/>
      <c r="AK10" s="334"/>
      <c r="AL10" s="479"/>
      <c r="AM10" s="335">
        <f>IF(ISNUMBER(Datos!R10),Datos!R10," - ")</f>
        <v>16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6</v>
      </c>
      <c r="BD10" s="229">
        <f>IF(ISNUMBER(Datos!N10),Datos!N10," - ")</f>
        <v>18</v>
      </c>
      <c r="BE10" s="229" t="str">
        <f>IF(ISNUMBER(Datos!BW10),Datos!BW10," - ")</f>
        <v xml:space="preserve"> - </v>
      </c>
      <c r="BF10" s="228" t="str">
        <f>IF(ISNUMBER(Datos!BX10),Datos!BX10," - ")</f>
        <v xml:space="preserve"> - </v>
      </c>
      <c r="BG10" s="243">
        <f>IF(ISNUMBER(Datos!K10/Datos!J10),Datos!K10/Datos!J10," - ")</f>
        <v>3.5555555555555554</v>
      </c>
      <c r="BH10" s="260">
        <f>IF(ISNUMBER(((Datos!L10/Datos!K10)*11)/factor_trimestre),((Datos!L10/Datos!K10)*11)/factor_trimestre," - ")</f>
        <v>4.125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-0.46666666666666667</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1600</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1323</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245</v>
      </c>
      <c r="O12" s="334"/>
      <c r="P12" s="334"/>
      <c r="Q12" s="226">
        <f>IF(ISNUMBER(Datos!P12),Datos!P12,0)</f>
        <v>940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1505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83</v>
      </c>
      <c r="AI12" s="334" t="str">
        <f>IF(ISNUMBER(Datos!CD12),Datos!CD12,"-")</f>
        <v>-</v>
      </c>
      <c r="AJ12" s="334" t="str">
        <f>IF(ISNUMBER(Datos!EN12),Datos!EN12," - ")</f>
        <v xml:space="preserve"> - </v>
      </c>
      <c r="AK12" s="334"/>
      <c r="AL12" s="479"/>
      <c r="AM12" s="335">
        <f>IF(ISNUMBER(Datos!R12),Datos!R12," - ")</f>
        <v>4245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895</v>
      </c>
      <c r="BD12" s="229">
        <f>IF(ISNUMBER(Datos!N12),Datos!N12," - ")</f>
        <v>1734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0.88911381016644175</v>
      </c>
      <c r="BH12" s="260">
        <f>IF(ISNUMBER(((IF(J_V="SI",Datos!L12/Datos!K12,(Datos!L12+Datos!AB12)/(Datos!K12+Datos!AA12)))*11)/factor_trimestre),((IF(J_V="SI",Datos!L12/Datos!K12,(Datos!L12+Datos!AB12)/(Datos!K12+Datos!AA12)))*11)/factor_trimestre," - ")</f>
        <v>6.7118644067796618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-0.11746361746361747</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680</v>
      </c>
      <c r="BZ12" s="1186">
        <f>Datos!EZ12</f>
        <v>0</v>
      </c>
    </row>
    <row r="13" spans="1:78" ht="15.75" thickTop="1" thickBot="1">
      <c r="A13" s="178"/>
      <c r="B13" s="178"/>
      <c r="C13" s="863" t="str">
        <f>Datos!A13</f>
        <v>TOTAL</v>
      </c>
      <c r="D13" s="897"/>
      <c r="E13" s="1164">
        <f t="shared" ref="E13:Z13" si="0">SUBTOTAL(9,E8:E12)</f>
        <v>4</v>
      </c>
      <c r="F13" s="898">
        <f t="shared" si="0"/>
        <v>35</v>
      </c>
      <c r="G13" s="898">
        <f t="shared" si="0"/>
        <v>35</v>
      </c>
      <c r="H13" s="899">
        <f t="shared" si="0"/>
        <v>0</v>
      </c>
      <c r="I13" s="898">
        <f t="shared" si="0"/>
        <v>0</v>
      </c>
      <c r="J13" s="867">
        <f t="shared" si="0"/>
        <v>0</v>
      </c>
      <c r="K13" s="867">
        <f t="shared" si="0"/>
        <v>0</v>
      </c>
      <c r="L13" s="899">
        <f t="shared" si="0"/>
        <v>0</v>
      </c>
      <c r="M13" s="899">
        <f t="shared" si="0"/>
        <v>0</v>
      </c>
      <c r="N13" s="899">
        <f t="shared" si="0"/>
        <v>245</v>
      </c>
      <c r="O13" s="900">
        <f t="shared" si="0"/>
        <v>0</v>
      </c>
      <c r="P13" s="900">
        <f t="shared" si="0"/>
        <v>0</v>
      </c>
      <c r="Q13" s="899">
        <f t="shared" si="0"/>
        <v>942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32</v>
      </c>
      <c r="AC13" s="899">
        <f t="shared" si="1"/>
        <v>1521</v>
      </c>
      <c r="AD13" s="899">
        <f t="shared" si="1"/>
        <v>0</v>
      </c>
      <c r="AE13" s="899">
        <f t="shared" si="1"/>
        <v>0</v>
      </c>
      <c r="AF13" s="899">
        <f t="shared" si="1"/>
        <v>12</v>
      </c>
      <c r="AG13" s="899">
        <f t="shared" si="1"/>
        <v>0</v>
      </c>
      <c r="AH13" s="899">
        <f t="shared" si="1"/>
        <v>83</v>
      </c>
      <c r="AI13" s="899">
        <f t="shared" si="1"/>
        <v>0</v>
      </c>
      <c r="AJ13" s="899">
        <f t="shared" si="1"/>
        <v>0</v>
      </c>
      <c r="AK13" s="899">
        <f t="shared" si="1"/>
        <v>0</v>
      </c>
      <c r="AL13" s="899">
        <f t="shared" si="1"/>
        <v>0</v>
      </c>
      <c r="AM13" s="899">
        <f t="shared" si="1"/>
        <v>4261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901</v>
      </c>
      <c r="BD13" s="899">
        <f t="shared" si="1"/>
        <v>1752</v>
      </c>
      <c r="BE13" s="899">
        <f t="shared" si="1"/>
        <v>0</v>
      </c>
      <c r="BF13" s="899">
        <f t="shared" si="1"/>
        <v>0</v>
      </c>
      <c r="BG13" s="899">
        <f>IF(ISNUMBER(Datos!K13/Datos!J13),Datos!K13/Datos!J13," - ")</f>
        <v>0.89453681710213773</v>
      </c>
      <c r="BH13" s="903">
        <f>IF(ISNUMBER(((Datos!L13/Datos!K13)*11)/factor_trimestre),((Datos!L13/Datos!K13)*11)/factor_trimestre," - ")</f>
        <v>6.8377588953797126</v>
      </c>
      <c r="BI13" s="899">
        <f>IF(ISNUMBER('Resol  Asuntos'!D13/NºAsuntos!G13),'Resol  Asuntos'!D13/NºAsuntos!G13," - ")</f>
        <v>0.2260978670012547</v>
      </c>
      <c r="BJ13" s="899" t="str">
        <f>IF(ISNUMBER(Datos!CI13/Datos!CJ13),Datos!CI13/Datos!CJ13," - ")</f>
        <v xml:space="preserve"> - </v>
      </c>
      <c r="BK13" s="899">
        <f>SUBTOTAL(9,BK8:BK12)</f>
        <v>0</v>
      </c>
      <c r="BL13" s="899">
        <f>IF(ISNUMBER((I13-AB13+L13)/(F13)),(I13-AB13+L13)/(F13)," - ")</f>
        <v>-0.91428571428571426</v>
      </c>
      <c r="BM13" s="904">
        <f>SUBTOTAL(9,BM9:BM12)</f>
        <v>-0.58413028413028412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4803</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3300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797</v>
      </c>
      <c r="G16" s="598">
        <f>IF(ISNUMBER(IF(D_I="SI",Datos!I16,Datos!I16+Datos!AC16)),IF(D_I="SI",Datos!I16,Datos!I16+Datos!AC16)," - ")</f>
        <v>1032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197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3202</v>
      </c>
      <c r="AC16" s="226">
        <f>IF(ISNUMBER(Datos!Q16),Datos!Q16," - ")</f>
        <v>184</v>
      </c>
      <c r="AD16" s="334"/>
      <c r="AE16" s="484"/>
      <c r="AF16" s="596">
        <f>IF(ISNUMBER(IF(D_I="SI",Datos!L16,Datos!L16+Datos!AF16)),IF(D_I="SI",Datos!L16,Datos!L16+Datos!AF16)," - ")</f>
        <v>765</v>
      </c>
      <c r="AG16" s="334"/>
      <c r="AH16" s="334"/>
      <c r="AI16" s="334"/>
      <c r="AJ16" s="334"/>
      <c r="AK16" s="334"/>
      <c r="AL16" s="479"/>
      <c r="AM16" s="335">
        <f>IF(ISNUMBER(Datos!R16),Datos!R16," - ")</f>
        <v>152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415</v>
      </c>
      <c r="BD16" s="229">
        <f>IF(ISNUMBER(Datos!N16),Datos!N16," - ")</f>
        <v>2103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1.0100946372239747</v>
      </c>
      <c r="BH16" s="260">
        <f>IF(ISNUMBER(((IF(D_I="SI",Datos!L16/Datos!K16,(Datos!L16+Datos!AF16)/(Datos!K16+Datos!AE16)))*11)/factor_trimestre),((IF(D_I="SI",Datos!L16/Datos!K16,(Datos!L16+Datos!AF16)/(Datos!K16+Datos!AE16)))*11)/factor_trimestre," - ")</f>
        <v>2.6280449718925674</v>
      </c>
      <c r="BI16" s="243">
        <f>IF(ISNUMBER('Resol  Asuntos'!D16/NºAsuntos!G16),'Resol  Asuntos'!D16/NºAsuntos!G16," - ")</f>
        <v>0.12960649594003748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1000</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107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202</v>
      </c>
      <c r="AC17" s="226">
        <f>IF(ISNUMBER(Datos!Q17),Datos!Q17," - ")</f>
        <v>2</v>
      </c>
      <c r="AD17" s="334"/>
      <c r="AE17" s="484"/>
      <c r="AF17" s="332">
        <f>IF(ISNUMBER(Datos!L17),Datos!L17,"-")</f>
        <v>10</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15</v>
      </c>
      <c r="BD17" s="229">
        <f>IF(ISNUMBER(Datos!N17),Datos!N17," - ")</f>
        <v>71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1.9803921568627452</v>
      </c>
      <c r="BH17" s="260">
        <f>IF(ISNUMBER(((IF(D_I="SI",Datos!L17/Datos!K17,(Datos!L17+Datos!AF17)/(Datos!K17+Datos!AE17)))*11)/factor_trimestre),((IF(D_I="SI",Datos!L17/Datos!K17,(Datos!L17+Datos!AF17)/(Datos!K17+Datos!AE17)))*11)/factor_trimestre," - ")</f>
        <v>0.54455445544554459</v>
      </c>
      <c r="BI17" s="243">
        <f>IF(ISNUMBER('Resol  Asuntos'!D17/NºAsuntos!G17),'Resol  Asuntos'!D17/NºAsuntos!G17," - ")</f>
        <v>7.4257425742574254E-2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1600</v>
      </c>
      <c r="BZ17" s="1186">
        <f>Datos!EZ17</f>
        <v>0</v>
      </c>
    </row>
    <row r="18" spans="1:78" ht="15.75" thickTop="1" thickBot="1">
      <c r="A18" s="178"/>
      <c r="B18" s="178"/>
      <c r="C18" s="863" t="str">
        <f>Datos!A18</f>
        <v>TOTAL</v>
      </c>
      <c r="D18" s="897"/>
      <c r="E18" s="1164">
        <f>SUBTOTAL(9,E15:E17)</f>
        <v>4</v>
      </c>
      <c r="F18" s="898">
        <f>SUBTOTAL(9,F15:F17)</f>
        <v>797</v>
      </c>
      <c r="G18" s="898">
        <f>SUBTOTAL(9,G15:G17)</f>
        <v>1139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199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3404</v>
      </c>
      <c r="AC18" s="899">
        <f t="shared" si="4"/>
        <v>186</v>
      </c>
      <c r="AD18" s="899">
        <f t="shared" si="4"/>
        <v>0</v>
      </c>
      <c r="AE18" s="899">
        <f t="shared" si="4"/>
        <v>0</v>
      </c>
      <c r="AF18" s="899">
        <f t="shared" si="4"/>
        <v>775</v>
      </c>
      <c r="AG18" s="899">
        <f t="shared" si="4"/>
        <v>0</v>
      </c>
      <c r="AH18" s="899">
        <f t="shared" si="4"/>
        <v>0</v>
      </c>
      <c r="AI18" s="899">
        <f t="shared" si="4"/>
        <v>0</v>
      </c>
      <c r="AJ18" s="899">
        <f t="shared" si="4"/>
        <v>0</v>
      </c>
      <c r="AK18" s="899">
        <f t="shared" si="4"/>
        <v>0</v>
      </c>
      <c r="AL18" s="899">
        <f t="shared" si="4"/>
        <v>0</v>
      </c>
      <c r="AM18" s="899">
        <f t="shared" si="4"/>
        <v>152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430</v>
      </c>
      <c r="BD18" s="899">
        <f t="shared" si="4"/>
        <v>2174</v>
      </c>
      <c r="BE18" s="899">
        <f t="shared" si="4"/>
        <v>0</v>
      </c>
      <c r="BF18" s="899">
        <f t="shared" si="4"/>
        <v>0</v>
      </c>
      <c r="BG18" s="899">
        <f>IF(ISNUMBER(Datos!K18/Datos!J18),Datos!K18/Datos!J18," - ")</f>
        <v>1.0403422982885087</v>
      </c>
      <c r="BH18" s="903">
        <f>IF(ISNUMBER(((Datos!L18/Datos!K18)*11)/factor_trimestre),((Datos!L18/Datos!K18)*11)/factor_trimestre," - ")</f>
        <v>2.5044065804935371</v>
      </c>
      <c r="BI18" s="899">
        <f>SUBTOTAL(9,BI15:BI17)</f>
        <v>0.20386392168261175</v>
      </c>
      <c r="BJ18" s="899">
        <f>SUBTOTAL(9,BJ15:BJ17)</f>
        <v>0</v>
      </c>
      <c r="BK18" s="899">
        <f>SUBTOTAL(9,BK15:BK17)</f>
        <v>0</v>
      </c>
      <c r="BL18" s="899">
        <f>IF(ISNUMBER((I18-AB18+L18)/(F18)),(I18-AB18+L18)/(F18)," - ")</f>
        <v>-4.2710163111668757</v>
      </c>
      <c r="BM18" s="905">
        <f>IF(ISNUMBER((Datos!P18-Datos!Q18)/(Datos!R18-Datos!P18+Datos!Q18)),(Datos!P18-Datos!Q18)/(Datos!R18-Datos!P18+Datos!Q18)," - ")</f>
        <v>9.3525179856115109E-2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5900</v>
      </c>
      <c r="BZ18" s="1186"/>
    </row>
    <row r="19" spans="1:78" ht="18.75" customHeight="1" thickTop="1" thickBot="1">
      <c r="A19" s="172"/>
      <c r="B19" s="172"/>
      <c r="C19" s="818" t="str">
        <f>Datos!A19</f>
        <v>TOTAL JURISDICCIONES</v>
      </c>
      <c r="D19" s="818"/>
      <c r="E19" s="1166">
        <f t="shared" ref="E19:R19" si="6">SUBTOTAL(9,E9:E18)</f>
        <v>8</v>
      </c>
      <c r="F19" s="820">
        <f t="shared" si="6"/>
        <v>832</v>
      </c>
      <c r="G19" s="820">
        <f t="shared" si="6"/>
        <v>1174</v>
      </c>
      <c r="H19" s="822">
        <f t="shared" si="6"/>
        <v>0</v>
      </c>
      <c r="I19" s="820">
        <f t="shared" si="6"/>
        <v>0</v>
      </c>
      <c r="J19" s="822">
        <f t="shared" si="6"/>
        <v>0</v>
      </c>
      <c r="K19" s="822">
        <f t="shared" si="6"/>
        <v>0</v>
      </c>
      <c r="L19" s="881">
        <f t="shared" si="6"/>
        <v>0</v>
      </c>
      <c r="M19" s="881">
        <f t="shared" si="6"/>
        <v>0</v>
      </c>
      <c r="N19" s="881">
        <f t="shared" si="6"/>
        <v>245</v>
      </c>
      <c r="O19" s="881">
        <f t="shared" si="6"/>
        <v>0</v>
      </c>
      <c r="P19" s="881">
        <f t="shared" si="6"/>
        <v>0</v>
      </c>
      <c r="Q19" s="822">
        <f t="shared" si="6"/>
        <v>1141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3436</v>
      </c>
      <c r="AC19" s="821">
        <f t="shared" si="7"/>
        <v>1707</v>
      </c>
      <c r="AD19" s="821">
        <f t="shared" si="7"/>
        <v>0</v>
      </c>
      <c r="AE19" s="821">
        <f t="shared" si="7"/>
        <v>0</v>
      </c>
      <c r="AF19" s="828">
        <f t="shared" si="7"/>
        <v>787</v>
      </c>
      <c r="AG19" s="828">
        <f t="shared" si="7"/>
        <v>0</v>
      </c>
      <c r="AH19" s="828">
        <f t="shared" si="7"/>
        <v>83</v>
      </c>
      <c r="AI19" s="828">
        <f t="shared" si="7"/>
        <v>0</v>
      </c>
      <c r="AJ19" s="821">
        <f t="shared" si="7"/>
        <v>0</v>
      </c>
      <c r="AK19" s="828">
        <f t="shared" si="7"/>
        <v>0</v>
      </c>
      <c r="AL19" s="828">
        <f t="shared" si="7"/>
        <v>0</v>
      </c>
      <c r="AM19" s="828">
        <f t="shared" si="7"/>
        <v>4413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1331</v>
      </c>
      <c r="BD19" s="820">
        <f t="shared" si="7"/>
        <v>3926</v>
      </c>
      <c r="BE19" s="820">
        <f t="shared" si="7"/>
        <v>0</v>
      </c>
      <c r="BF19" s="830">
        <f t="shared" si="7"/>
        <v>0</v>
      </c>
      <c r="BG19" s="915">
        <f>IF(ISNUMBER(Datos!K19/Datos!J19),Datos!K19/Datos!J19," - ")</f>
        <v>0.95829991980753804</v>
      </c>
      <c r="BH19" s="915">
        <f>IF(ISNUMBER(((Datos!L19/Datos!K19)*11)/factor_trimestre),((Datos!L19/Datos!K19)*11)/factor_trimestre," - ")</f>
        <v>4.7804741980474192</v>
      </c>
      <c r="BI19" s="813">
        <f>IF(ISNUMBER(Datos!J19/Datos!I19),Datos!J19/Datos!I19," - ")</f>
        <v>2.4644268774703559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-4.1298076923076925</v>
      </c>
      <c r="BM19" s="889">
        <f>IF(ISNUMBER((Datos!P19-Datos!Q19+R19)/(Datos!R19-Datos!P19+Datos!Q19-R19)),(Datos!P19-Datos!Q19+R19)/(Datos!R19-Datos!P19+Datos!Q19-R19)," - ")</f>
        <v>-0.11367744527013457</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10703</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469.6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439.94090512249483</v>
      </c>
      <c r="G21" s="552">
        <f>IF(ISNUMBER(STDEV(G8:G18)),STDEV(G8:G18),"-")</f>
        <v>564.27457855196701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1763.3771009060995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397.28360986412042</v>
      </c>
      <c r="BD21" s="551"/>
      <c r="BE21" s="551">
        <f>IF(ISNUMBER(STDEV(BE8:BE18)),STDEV(BE8:BE18),"-")</f>
        <v>0</v>
      </c>
      <c r="BF21" s="556">
        <f>IF(ISNUMBER(STDEV(BF8:BF18)),STDEV(BF8:BF18),"-")</f>
        <v>0</v>
      </c>
      <c r="BG21" s="775">
        <f>IF(ISNUMBER(STDEV(BG8:BG18)),STDEV(BG8:BG18),"-")</f>
        <v>1.0605964660380631</v>
      </c>
      <c r="BH21" s="776">
        <f>IF(ISNUMBER(STDEV(BH8:BH18)),STDEV(BH8:BH18),"-")</f>
        <v>2.5064640114760413</v>
      </c>
      <c r="BI21" s="249">
        <f>IF(ISNUMBER(STDEV(BI8:BI18)),STDEV(BI8:BI18),"-")</f>
        <v>6.9663465589234419E-2</v>
      </c>
      <c r="BJ21" s="230" t="str">
        <f>IF(ISNUMBER(BL21/BM21),BL21/BM21," - ")</f>
        <v xml:space="preserve"> - </v>
      </c>
      <c r="BK21" s="575"/>
      <c r="BL21" s="559">
        <f>IF(ISNUMBER(STDEV(BL8:BL18)),STDEV(BL8:BL18),"-")</f>
        <v>2.373566967671036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1858.3781982626083</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28 feb. 2025</v>
      </c>
    </row>
    <row r="32" spans="1:78">
      <c r="C32" s="527"/>
      <c r="D32" s="527"/>
    </row>
  </sheetData>
  <sheetProtection algorithmName="SHA-512" hashValue="XRXDDwWaM2LL7pC2Ildv3CHKBqfdMUVyXJNU5/PBk/XOJ9Hh7l0vruHG5QzSqhCfYreP6YNTjjdhtnoQHTc5Pg==" saltValue="veFOo/T/6JJxOSieiYf2a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MISLATA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1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1200</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35</v>
      </c>
      <c r="G10" s="225">
        <f>IF(ISNUMBER(Datos!I10),Datos!I10," - ")</f>
        <v>35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32</v>
      </c>
      <c r="Z10" s="619">
        <f>IF(ISNUMBER(Datos!Q10),Datos!Q10," - ")</f>
        <v>16</v>
      </c>
      <c r="AA10" s="332">
        <f>IF(ISNUMBER(Datos!L10),Datos!L10,"-")</f>
        <v>12</v>
      </c>
      <c r="AB10" s="334"/>
      <c r="AC10" s="334"/>
      <c r="AD10" s="484"/>
      <c r="AE10" s="484">
        <f>IF(ISNUMBER(Datos!R10),Datos!R10," - ")</f>
        <v>16</v>
      </c>
      <c r="AF10" s="229" t="str">
        <f>IF(ISNUMBER(Datos!BV10),Datos!BV10," - ")</f>
        <v xml:space="preserve"> - </v>
      </c>
      <c r="AG10" s="225" t="str">
        <f>IF(ISNUMBER(Datos!DV10),Datos!DV10," - ")</f>
        <v xml:space="preserve"> - </v>
      </c>
      <c r="AH10" s="298"/>
      <c r="AI10" s="227"/>
      <c r="AJ10" s="225">
        <f>IF(ISNUMBER(Datos!M10),Datos!M10," - ")</f>
        <v>6</v>
      </c>
      <c r="AK10" s="229">
        <f>IF(ISNUMBER(Datos!N10),Datos!N10," - ")</f>
        <v>18</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4.125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-0.46666666666666667</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1600</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1323</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940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1505</v>
      </c>
      <c r="AA12" s="332" t="str">
        <f>IF(ISNUMBER(IF(J_V="SI",Datos!L12,Datos!L12+Datos!AB12)-IF(Monitorios="SI",Datos!CD12,0)),
                          IF(J_V="SI",Datos!L12,Datos!L12+Datos!AB12)-IF(Monitorios="SI",Datos!CD12,0),
                          " - ")</f>
        <v xml:space="preserve"> - </v>
      </c>
      <c r="AB12" s="334"/>
      <c r="AC12" s="334"/>
      <c r="AD12" s="484"/>
      <c r="AE12" s="484">
        <f>IF(ISNUMBER(Datos!R12),Datos!R12," - ")</f>
        <v>4245</v>
      </c>
      <c r="AF12" s="229" t="str">
        <f>IF(ISNUMBER(Datos!BV12),Datos!BV12," - ")</f>
        <v xml:space="preserve"> - </v>
      </c>
      <c r="AG12" s="225" t="str">
        <f>IF(ISNUMBER(Datos!DV12),Datos!DV12," - ")</f>
        <v xml:space="preserve"> - </v>
      </c>
      <c r="AH12" s="298"/>
      <c r="AI12" s="227"/>
      <c r="AJ12" s="225">
        <f>IF(ISNUMBER(Datos!M12),Datos!M12," - ")</f>
        <v>895</v>
      </c>
      <c r="AK12" s="229">
        <f>IF(ISNUMBER(Datos!N12),Datos!N12," - ")</f>
        <v>1734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6.7118644067796618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-0.11746361746361747</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680</v>
      </c>
      <c r="BZ12" s="1186">
        <f>Datos!EZ12</f>
        <v>0</v>
      </c>
    </row>
    <row r="13" spans="1:78" ht="15.75" thickTop="1" thickBot="1">
      <c r="A13" s="178"/>
      <c r="B13" s="178"/>
      <c r="C13" s="863" t="str">
        <f>Datos!A13</f>
        <v>TOTAL</v>
      </c>
      <c r="D13" s="863"/>
      <c r="E13" s="898">
        <f>SUBTOTAL(9,E8:E12)</f>
        <v>4</v>
      </c>
      <c r="F13" s="898">
        <f>SUBTOTAL(9,F8:F12)</f>
        <v>35</v>
      </c>
      <c r="G13" s="898">
        <f>SUBTOTAL(9,G8:G12)</f>
        <v>35</v>
      </c>
      <c r="H13" s="908"/>
      <c r="I13" s="898">
        <f t="shared" ref="I13:N13" si="0">SUBTOTAL(9,I8:I12)</f>
        <v>0</v>
      </c>
      <c r="J13" s="867">
        <f t="shared" si="0"/>
        <v>0</v>
      </c>
      <c r="K13" s="908">
        <f t="shared" si="0"/>
        <v>0</v>
      </c>
      <c r="L13" s="908">
        <f t="shared" si="0"/>
        <v>0</v>
      </c>
      <c r="M13" s="908">
        <f t="shared" si="0"/>
        <v>0</v>
      </c>
      <c r="N13" s="908">
        <f t="shared" si="0"/>
        <v>942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32</v>
      </c>
      <c r="Z13" s="907">
        <f t="shared" si="2"/>
        <v>1521</v>
      </c>
      <c r="AA13" s="900">
        <f t="shared" si="2"/>
        <v>12</v>
      </c>
      <c r="AB13" s="900">
        <f t="shared" si="2"/>
        <v>0</v>
      </c>
      <c r="AC13" s="900">
        <f t="shared" si="2"/>
        <v>0</v>
      </c>
      <c r="AD13" s="900">
        <f t="shared" si="2"/>
        <v>0</v>
      </c>
      <c r="AE13" s="900">
        <f t="shared" si="2"/>
        <v>4261</v>
      </c>
      <c r="AF13" s="908">
        <f t="shared" si="2"/>
        <v>0</v>
      </c>
      <c r="AG13" s="908">
        <f t="shared" si="2"/>
        <v>0</v>
      </c>
      <c r="AH13" s="908">
        <f t="shared" si="2"/>
        <v>0</v>
      </c>
      <c r="AI13" s="908">
        <f t="shared" si="2"/>
        <v>0</v>
      </c>
      <c r="AJ13" s="908">
        <f t="shared" si="2"/>
        <v>901</v>
      </c>
      <c r="AK13" s="908">
        <f t="shared" si="2"/>
        <v>1752</v>
      </c>
      <c r="AL13" s="908">
        <f t="shared" si="2"/>
        <v>0</v>
      </c>
      <c r="AM13" s="908">
        <f t="shared" si="2"/>
        <v>0</v>
      </c>
      <c r="AN13" s="908">
        <f t="shared" si="2"/>
        <v>0</v>
      </c>
      <c r="AO13" s="904">
        <f>IF(ISNUMBER(((NºAsuntos!I13/NºAsuntos!G13)*11)/factor_trimestre),((NºAsuntos!I13/NºAsuntos!G13)*11)/factor_trimestre," - ")</f>
        <v>6.6910915934755337</v>
      </c>
      <c r="AP13" s="910" t="str">
        <f>IF(ISNUMBER(Datos!CI13/Datos!CJ13),Datos!CI13/Datos!CJ13," - ")</f>
        <v xml:space="preserve"> - </v>
      </c>
      <c r="AQ13" s="928">
        <f t="shared" ref="AQ13:AV13" si="3">SUBTOTAL(9,AQ9:AQ12)</f>
        <v>0</v>
      </c>
      <c r="AR13" s="928">
        <f t="shared" si="3"/>
        <v>-0.58413028413028412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3300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797</v>
      </c>
      <c r="G16" s="225">
        <f>IF(ISNUMBER(IF(D_I="SI",Datos!I16,Datos!I16+Datos!AC16)),IF(D_I="SI",Datos!I16,Datos!I16+Datos!AC16)," - ")</f>
        <v>1032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197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3202</v>
      </c>
      <c r="Z16" s="619">
        <f>IF(ISNUMBER(Datos!Q16),Datos!Q16," - ")</f>
        <v>184</v>
      </c>
      <c r="AA16" s="332">
        <f>IF(ISNUMBER(IF(D_I="SI",Datos!L16,Datos!L16+Datos!AF16)),IF(D_I="SI",Datos!L16,Datos!L16+Datos!AF16)," - ")</f>
        <v>765</v>
      </c>
      <c r="AB16" s="334"/>
      <c r="AC16" s="334"/>
      <c r="AD16" s="484"/>
      <c r="AE16" s="484">
        <f>IF(ISNUMBER(Datos!R16),Datos!R16," - ")</f>
        <v>152</v>
      </c>
      <c r="AF16" s="229" t="str">
        <f>IF(ISNUMBER(Datos!BV16),Datos!BV16," - ")</f>
        <v xml:space="preserve"> - </v>
      </c>
      <c r="AG16" s="225"/>
      <c r="AH16" s="298"/>
      <c r="AI16" s="227"/>
      <c r="AJ16" s="225">
        <f>IF(ISNUMBER(Datos!M16),Datos!M16," - ")</f>
        <v>415</v>
      </c>
      <c r="AK16" s="229">
        <f>IF(ISNUMBER(Datos!N16),Datos!N16," - ")</f>
        <v>2103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2.6280449718925674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1000</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107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202</v>
      </c>
      <c r="Z17" s="619">
        <f>IF(ISNUMBER(Datos!Q17),Datos!Q17," - ")</f>
        <v>2</v>
      </c>
      <c r="AA17" s="332">
        <f>IF(ISNUMBER(Datos!L17),Datos!L17,"-")</f>
        <v>10</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15</v>
      </c>
      <c r="AK17" s="229">
        <f>IF(ISNUMBER(Datos!N17),Datos!N17," - ")</f>
        <v>71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0.54455445544554459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1600</v>
      </c>
      <c r="BZ17" s="1186">
        <f>Datos!EZ17</f>
        <v>0</v>
      </c>
    </row>
    <row r="18" spans="1:78" ht="15.75" thickTop="1" thickBot="1">
      <c r="A18" s="178"/>
      <c r="B18" s="178"/>
      <c r="C18" s="863" t="str">
        <f>Datos!A18</f>
        <v>TOTAL</v>
      </c>
      <c r="D18" s="863"/>
      <c r="E18" s="1169">
        <f>SUBTOTAL(9,E15:E17)</f>
        <v>4</v>
      </c>
      <c r="F18" s="898">
        <f>SUBTOTAL(9,F15:F17)</f>
        <v>797</v>
      </c>
      <c r="G18" s="898">
        <f>SUBTOTAL(9,G15:G17)</f>
        <v>1139</v>
      </c>
      <c r="H18" s="932">
        <f>SUBTOTAL(9,H15:H17)</f>
        <v>0</v>
      </c>
      <c r="I18" s="911">
        <f>SUBTOTAL(9,I15:I17)</f>
        <v>0</v>
      </c>
      <c r="J18" s="867">
        <f>SUBTOTAL(9,J14:J17)</f>
        <v>0</v>
      </c>
      <c r="K18" s="932">
        <f t="shared" ref="K18:S18" si="4">SUBTOTAL(9,K15:K17)</f>
        <v>0</v>
      </c>
      <c r="L18" s="932">
        <f t="shared" si="4"/>
        <v>0</v>
      </c>
      <c r="M18" s="932">
        <f t="shared" si="4"/>
        <v>0</v>
      </c>
      <c r="N18" s="932">
        <f t="shared" si="4"/>
        <v>199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3404</v>
      </c>
      <c r="Z18" s="932">
        <f t="shared" si="5"/>
        <v>186</v>
      </c>
      <c r="AA18" s="932">
        <f t="shared" si="5"/>
        <v>775</v>
      </c>
      <c r="AB18" s="932">
        <f t="shared" si="5"/>
        <v>0</v>
      </c>
      <c r="AC18" s="932">
        <f t="shared" si="5"/>
        <v>0</v>
      </c>
      <c r="AD18" s="932">
        <f t="shared" si="5"/>
        <v>0</v>
      </c>
      <c r="AE18" s="932">
        <f t="shared" si="5"/>
        <v>152</v>
      </c>
      <c r="AF18" s="932">
        <f t="shared" si="5"/>
        <v>0</v>
      </c>
      <c r="AG18" s="932">
        <f t="shared" si="5"/>
        <v>0</v>
      </c>
      <c r="AH18" s="932">
        <f t="shared" si="5"/>
        <v>0</v>
      </c>
      <c r="AI18" s="932">
        <f t="shared" si="5"/>
        <v>0</v>
      </c>
      <c r="AJ18" s="932">
        <f t="shared" si="5"/>
        <v>430</v>
      </c>
      <c r="AK18" s="932">
        <f t="shared" si="5"/>
        <v>2174</v>
      </c>
      <c r="AL18" s="932">
        <f t="shared" si="5"/>
        <v>0</v>
      </c>
      <c r="AM18" s="932">
        <f t="shared" si="5"/>
        <v>0</v>
      </c>
      <c r="AN18" s="932">
        <f t="shared" si="5"/>
        <v>0</v>
      </c>
      <c r="AO18" s="934">
        <f>IF(ISNUMBER(((NºAsuntos!I18/NºAsuntos!G18)*11)/factor_trimestre),((NºAsuntos!I18/NºAsuntos!G18)*11)/factor_trimestre," - ")</f>
        <v>2.5044065804935371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832</v>
      </c>
      <c r="G19" s="820">
        <f t="shared" si="7"/>
        <v>1174</v>
      </c>
      <c r="H19" s="821">
        <f t="shared" si="7"/>
        <v>0</v>
      </c>
      <c r="I19" s="820">
        <f t="shared" si="7"/>
        <v>0</v>
      </c>
      <c r="J19" s="822">
        <f t="shared" si="7"/>
        <v>0</v>
      </c>
      <c r="K19" s="820">
        <f t="shared" si="7"/>
        <v>0</v>
      </c>
      <c r="L19" s="823">
        <f t="shared" si="7"/>
        <v>0</v>
      </c>
      <c r="M19" s="820">
        <f t="shared" si="7"/>
        <v>0</v>
      </c>
      <c r="N19" s="821">
        <f t="shared" si="7"/>
        <v>1141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3436</v>
      </c>
      <c r="Z19" s="827">
        <f t="shared" si="8"/>
        <v>1707</v>
      </c>
      <c r="AA19" s="828">
        <f t="shared" si="8"/>
        <v>787</v>
      </c>
      <c r="AB19" s="828">
        <f t="shared" si="8"/>
        <v>0</v>
      </c>
      <c r="AC19" s="828">
        <f t="shared" si="8"/>
        <v>0</v>
      </c>
      <c r="AD19" s="829">
        <f t="shared" si="8"/>
        <v>0</v>
      </c>
      <c r="AE19" s="829">
        <f t="shared" si="8"/>
        <v>4413</v>
      </c>
      <c r="AF19" s="830">
        <f t="shared" si="8"/>
        <v>0</v>
      </c>
      <c r="AG19" s="831">
        <f t="shared" si="8"/>
        <v>0</v>
      </c>
      <c r="AH19" s="832">
        <f t="shared" si="8"/>
        <v>0</v>
      </c>
      <c r="AI19" s="830">
        <f t="shared" si="8"/>
        <v>0</v>
      </c>
      <c r="AJ19" s="820">
        <f t="shared" si="8"/>
        <v>1331</v>
      </c>
      <c r="AK19" s="820">
        <f t="shared" si="8"/>
        <v>3926</v>
      </c>
      <c r="AL19" s="820">
        <f t="shared" si="8"/>
        <v>0</v>
      </c>
      <c r="AM19" s="833">
        <f t="shared" si="8"/>
        <v>0</v>
      </c>
      <c r="AN19" s="823">
        <f>IF(ISNUMBER(Datos!K19/Datos!J19),Datos!K19/Datos!J19," - ")</f>
        <v>0.95829991980753804</v>
      </c>
      <c r="AO19" s="823">
        <f>IF(ISNUMBER(FIND("06",Criterios!A8,1)),(IF(ISNUMBER(((Datos!R19/Datos!Q19)*11)/factor_trimestre),((Datos!R19/Datos!Q19)*11)/factor_trimestre," - ")),(IF(ISNUMBER(((Datos!L19/Datos!K19)*11)/factor_trimestre),((Datos!L19/Datos!K19)*11)/factor_trimestre," - ")))</f>
        <v>4.7804741980474192</v>
      </c>
      <c r="AP19" s="834" t="str">
        <f>IF(ISNUMBER(Datos!CI19/Datos!CJ19),Datos!CI19/Datos!CJ19," - ")</f>
        <v xml:space="preserve"> - </v>
      </c>
      <c r="AQ19" s="834">
        <f>IF(OR(ISNUMBER(FIND("01",Criterios!A8,1)),ISNUMBER(FIND("02",Criterios!A8,1)),ISNUMBER(FIND("03",Criterios!A8,1)),ISNUMBER(FIND("04",Criterios!A8,1))),(J19-Y19+K19)/(F19-K19),(I19-Y19+K19)/(F19-K19))</f>
        <v>-4.1298076923076925</v>
      </c>
      <c r="AR19" s="834">
        <f>IF(ISNUMBER((Datos!P19-Datos!Q19+O19)/(Datos!R19-Datos!P19+Datos!Q19-O19)),(Datos!P19-Datos!Q19+O19)/(Datos!R19-Datos!P19+Datos!Q19-O19)," - ")</f>
        <v>-0.11367744527013457</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469.6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439.94090512249483</v>
      </c>
      <c r="G21" s="552">
        <f>IF(ISNUMBER(STDEV(G8:G18)),STDEV(G8:G18),"-")</f>
        <v>564.27457855196701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397.28360986412042</v>
      </c>
      <c r="AK21" s="252"/>
      <c r="AL21" s="252">
        <f>IF(ISNUMBER(STDEV(AL8:AL18)),STDEV(AL8:AL18),"-")</f>
        <v>0</v>
      </c>
      <c r="AM21" s="254">
        <f>IF(ISNUMBER(STDEV(AM8:AM18)),STDEV(AM8:AM18),"-")</f>
        <v>0</v>
      </c>
      <c r="AN21" s="539">
        <f>IF(ISNUMBER(STDEV(AN8:AN18)),STDEV(AN8:AN18),"-")</f>
        <v>0</v>
      </c>
      <c r="AO21" s="540">
        <f>IF(ISNUMBER(STDEV(AO8:AO18)),STDEV(AO8:AO18),"-")</f>
        <v>2.4724734232803018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846.34921870348535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28 feb. 2025</v>
      </c>
    </row>
    <row r="32" spans="1:78" ht="13.5" thickBot="1">
      <c r="C32" s="536"/>
      <c r="D32" s="527"/>
      <c r="E32" s="527"/>
    </row>
    <row r="33" spans="12:12" ht="15" thickBot="1">
      <c r="L33" s="546"/>
    </row>
  </sheetData>
  <sheetProtection algorithmName="SHA-512" hashValue="AinRO3OtcUWq5DTIBYinFxN2CQ9uZ6wySiPw2E8aLY/HQRCF77VtqmbkPMt0h+axSIbf8PYEWx0iEx+HmLJhpw==" saltValue="GMgPUpMAMsRvXZYjtd0wx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9QKGuPnUjRCzIR7mQV2RKOYA/hnETSt86+S3Rss4YXnjIEhJTITNTdhADZW+yR9JtM19ORc67/oywaHySrhAoA==" saltValue="kM+uSsXMs5O0L79DS1Wu4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1d5OqkxDyZN8WAtTCa0vEeD1diWsyagXI4Va7OfZ2A06WDJZVG2loWSVl+QMQJrvlDTxnyrFpKMq5cGVNKOoQ==" saltValue="5TfbPWsG8sS6wdG344h7q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MISLATA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0.2260978670012547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0.15987533496840134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28 feb. 2025</v>
      </c>
    </row>
    <row r="32" spans="1:78">
      <c r="C32" s="774"/>
      <c r="D32" s="774"/>
    </row>
  </sheetData>
  <sheetProtection algorithmName="SHA-512" hashValue="TiB09ffizpOFpR/U1ranLIax6PQ2/zFGe/8oDpg/+tfqqpYED3FES6nrFZGjaNKNSWvWjDNg+1RyAEHAHaGOmw==" saltValue="GvhwKJJCtJrDgNRqyxkvt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yEuqGhonUDYogLs4MWm9yZDH4udnE+JK2ynAPrEqoCBAOaOgsrejpJDXDhJw28nU9MkGAdLTew2JBJrWmrsKFw==" saltValue="aTos/ssCcMfXV7VG16hO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MISLATA</v>
      </c>
      <c r="C4" s="375"/>
      <c r="D4" s="375"/>
      <c r="E4" s="375"/>
      <c r="F4" s="375"/>
      <c r="BQ4" s="471"/>
    </row>
    <row r="5" spans="1:69" ht="15.75" customHeight="1">
      <c r="A5" s="1198" t="str">
        <f>"Año:  " &amp;Criterios!B5 &amp; "     Trimestre   " &amp;Criterios!D5 &amp; " al " &amp;Criterios!D6</f>
        <v>Año:  2024     Trimestre   1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35</v>
      </c>
      <c r="D10" s="404">
        <f>IF(ISNUMBER(C10/Datos!BH10),C10/Datos!BH10," - ")</f>
        <v>35</v>
      </c>
      <c r="E10" s="403">
        <f>IF(ISNUMBER(Datos!J10),Datos!J10," - ")</f>
        <v>9</v>
      </c>
      <c r="F10" s="404">
        <f>IF(ISNUMBER(E10/B10),E10/B10," - ")</f>
        <v>9</v>
      </c>
      <c r="G10" s="403">
        <f>IF(ISNUMBER(Datos!K10),Datos!K10," - ")</f>
        <v>32</v>
      </c>
      <c r="H10" s="404">
        <f>IF(ISNUMBER(G10/B10),G10/B10," - ")</f>
        <v>32</v>
      </c>
      <c r="I10" s="403">
        <f>IF(ISNUMBER(Datos!L10),Datos!L10," - ")</f>
        <v>12</v>
      </c>
      <c r="J10" s="404">
        <f>IF(ISNUMBER(I10/B10),I10/B10," - ")</f>
        <v>12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1919</v>
      </c>
      <c r="D12" s="404">
        <f>IF(ISNUMBER(C12/Datos!BH12),C12/Datos!BH12," - ")</f>
        <v>479.75</v>
      </c>
      <c r="E12" s="403">
        <f>IF(ISNUMBER(IF(J_V="SI",Datos!J12,Datos!J12+Datos!Z12)),IF(J_V="SI",Datos!J12,Datos!J12+Datos!Z12)," - ")</f>
        <v>4446</v>
      </c>
      <c r="F12" s="404">
        <f>IF(ISNUMBER(E12/B12),E12/B12," - ")</f>
        <v>1111.5</v>
      </c>
      <c r="G12" s="403">
        <f>IF(ISNUMBER(IF(J_V="SI",Datos!K12,Datos!K12+Datos!AA12)),IF(J_V="SI",Datos!K12,Datos!K12+Datos!AA12)," - ")</f>
        <v>3953</v>
      </c>
      <c r="H12" s="404">
        <f>IF(ISNUMBER(G12/B12),G12/B12," - ")</f>
        <v>988.25</v>
      </c>
      <c r="I12" s="403">
        <f>IF(ISNUMBER(IF(J_V="SI",Datos!L12,Datos!L12+Datos!AB12)),IF(J_V="SI",Datos!L12,Datos!L12+Datos!AB12)," - ")</f>
        <v>2412</v>
      </c>
      <c r="J12" s="404">
        <f>IF(ISNUMBER(I12/B12),I12/B12," - ")</f>
        <v>603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1954</v>
      </c>
      <c r="D13" s="850" t="str">
        <f>IF(ISNUMBER(C13/Datos!BI13),C13/Datos!BI13," - ")</f>
        <v xml:space="preserve"> - </v>
      </c>
      <c r="E13" s="849">
        <f>SUBTOTAL(9,E8:E12)</f>
        <v>4455</v>
      </c>
      <c r="F13" s="850">
        <f>IF(ISNUMBER(E13/B13),E13/B13," - ")</f>
        <v>1113.75</v>
      </c>
      <c r="G13" s="849">
        <f>SUBTOTAL(9,G8:G12)</f>
        <v>3985</v>
      </c>
      <c r="H13" s="850">
        <f>IF(ISNUMBER(G13/B13),G13/B13," - ")</f>
        <v>996.25</v>
      </c>
      <c r="I13" s="849">
        <f>SUBTOTAL(9,I8:I12)</f>
        <v>2424</v>
      </c>
      <c r="J13" s="850">
        <f>IF(ISNUMBER(I13/B13),I13/B13," - ")</f>
        <v>606</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1032</v>
      </c>
      <c r="D16" s="404">
        <f>IF(ISNUMBER(C16/Datos!BH16),C16/Datos!BH16," - ")</f>
        <v>258</v>
      </c>
      <c r="E16" s="403">
        <f>IF(ISNUMBER(IF(D_I="SI",Datos!J16,Datos!J16+Datos!AD16)),IF(D_I="SI",Datos!J16,Datos!J16+Datos!AD16)," - ")</f>
        <v>3170</v>
      </c>
      <c r="F16" s="404">
        <f>IF(ISNUMBER(E16/B16),E16/B16," - ")</f>
        <v>792.5</v>
      </c>
      <c r="G16" s="403">
        <f>IF(ISNUMBER(IF(D_I="SI",Datos!K16,Datos!K16+Datos!AE16)),IF(D_I="SI",Datos!K16,Datos!K16+Datos!AE16)," - ")</f>
        <v>3202</v>
      </c>
      <c r="H16" s="404">
        <f>IF(ISNUMBER(G16/B16),G16/B16," - ")</f>
        <v>800.5</v>
      </c>
      <c r="I16" s="403">
        <f>IF(ISNUMBER(IF(D_I="SI",Datos!L16,Datos!L16+Datos!AF16)),IF(D_I="SI",Datos!L16,Datos!L16+Datos!AF16)," - ")</f>
        <v>765</v>
      </c>
      <c r="J16" s="404">
        <f>IF(ISNUMBER(I16/B16),I16/B16," - ")</f>
        <v>191.25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107</v>
      </c>
      <c r="D17" s="404">
        <f>IF(ISNUMBER(C17/Datos!BH17),C17/Datos!BH17," - ")</f>
        <v>107</v>
      </c>
      <c r="E17" s="403">
        <f>IF(ISNUMBER(IF(D_I="SI",Datos!J17,Datos!J17+Datos!AD17)),IF(D_I="SI",Datos!J17,Datos!J17+Datos!AD17)," - ")</f>
        <v>102</v>
      </c>
      <c r="F17" s="404">
        <f>IF(ISNUMBER(E17/B17),E17/B17," - ")</f>
        <v>102</v>
      </c>
      <c r="G17" s="403">
        <f>IF(ISNUMBER(IF(D_I="SI",Datos!K17,Datos!K17+Datos!AE17)),IF(D_I="SI",Datos!K17,Datos!K17+Datos!AE17)," - ")</f>
        <v>202</v>
      </c>
      <c r="H17" s="404">
        <f>IF(ISNUMBER(G17/B17),G17/B17," - ")</f>
        <v>202</v>
      </c>
      <c r="I17" s="403">
        <f>IF(ISNUMBER(IF(D_I="SI",Datos!L17,Datos!L17+Datos!AF17)),IF(D_I="SI",Datos!L17,Datos!L17+Datos!AF17)," - ")</f>
        <v>10</v>
      </c>
      <c r="J17" s="404">
        <f>IF(ISNUMBER(I17/B17),I17/B17," - ")</f>
        <v>10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1139</v>
      </c>
      <c r="D18" s="850" t="str">
        <f>IF(ISNUMBER(C18/Datos!BI18),C18/Datos!BI18," - ")</f>
        <v xml:space="preserve"> - </v>
      </c>
      <c r="E18" s="849">
        <f>SUBTOTAL(9,E14:E17)</f>
        <v>3272</v>
      </c>
      <c r="F18" s="850">
        <f>IF(ISNUMBER(E18/B18),E18/B18," - ")</f>
        <v>818</v>
      </c>
      <c r="G18" s="849">
        <f>SUBTOTAL(9,G14:G17)</f>
        <v>3404</v>
      </c>
      <c r="H18" s="850">
        <f>IF(ISNUMBER(G18/B18),G18/B18," - ")</f>
        <v>851</v>
      </c>
      <c r="I18" s="849">
        <f>SUBTOTAL(9,I14:I17)</f>
        <v>775</v>
      </c>
      <c r="J18" s="850">
        <f>IF(ISNUMBER(I18/B18),I18/B18," - ")</f>
        <v>193.75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3093</v>
      </c>
      <c r="D19" s="795" t="str">
        <f>IF(ISNUMBER(C19/Datos!BI19),C19/Datos!BI19," - ")</f>
        <v xml:space="preserve"> - </v>
      </c>
      <c r="E19" s="794">
        <f>SUBTOTAL(9,E9:E18)</f>
        <v>7727</v>
      </c>
      <c r="F19" s="795">
        <f>IF(ISNUMBER(E19/B19),E19/B19," - ")</f>
        <v>1931.75</v>
      </c>
      <c r="G19" s="794">
        <f>SUBTOTAL(9,G9:G18)</f>
        <v>7389</v>
      </c>
      <c r="H19" s="795">
        <f>IF(ISNUMBER(G19/B19),G19/B19," - ")</f>
        <v>1847.25</v>
      </c>
      <c r="I19" s="794">
        <f>SUBTOTAL(9,I9:I18)</f>
        <v>3199</v>
      </c>
      <c r="J19" s="795">
        <f>IF(ISNUMBER(I19/B19),I19/B19," - ")</f>
        <v>799.75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28 feb. 2025</v>
      </c>
    </row>
    <row r="27" spans="1:69">
      <c r="A27" s="414"/>
    </row>
  </sheetData>
  <sheetProtection algorithmName="SHA-512" hashValue="YGO95uTqdpQkkxCcF76rvGRwL1EBrQWCYrep2uq7AWb9X+Rav77I6/936OSgBuk8RXxc4B/Dplhq24VoTANKxw==" saltValue="ZgtDeitXNK8lVFklZ+xO0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MISLATA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1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35</v>
      </c>
      <c r="G10" s="684">
        <f>IF(ISNUMBER(Datos!I10),Datos!I10," - ")</f>
        <v>35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32</v>
      </c>
      <c r="AC10" s="683" t="str">
        <f>IF(ISNUMBER(IF(D_I="SI",DatosP!K17,DatosP!K17+DatosP!AE17)),IF(D_I="SI",DatosP!K17,DatosP!K17+DatosP!AE17)," - ")</f>
        <v xml:space="preserve"> - </v>
      </c>
      <c r="AD10" s="685"/>
      <c r="AE10" s="685"/>
      <c r="AF10" s="688">
        <f>IF(ISNUMBER(Datos!L10),Datos!L10,"-")</f>
        <v>12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6</v>
      </c>
      <c r="AM10" s="690">
        <f>IF(ISNUMBER(Datos!N10+DatosP!N17),Datos!N10+DatosP!N17," - ")</f>
        <v>18</v>
      </c>
      <c r="AN10" s="690">
        <f>IF(ISNUMBER(Datos!BW10+DatosP!BW17),Datos!BW10+DatosP!BW17," - ")</f>
        <v>0</v>
      </c>
      <c r="AO10" s="691">
        <f>IF(ISNUMBER(Datos!BX10+DatosP!BX17),Datos!BX10+DatosP!BX17," - ")</f>
        <v>0</v>
      </c>
      <c r="AP10" s="693">
        <f>IF(ISNUMBER(((Datos!L10/Datos!K10)*11)/factor_trimestre),((Datos!L10/Datos!K10)*11)/factor_trimestre," - ")</f>
        <v>4.125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940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1505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4245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895</v>
      </c>
      <c r="AM12" s="690">
        <f>IF(ISNUMBER(Datos!N12+DatosP!N16),Datos!N12+DatosP!N16," - ")</f>
        <v>1734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6.7118644067796618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-0.11746361746361747</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35</v>
      </c>
      <c r="G13" s="938">
        <f t="shared" si="0"/>
        <v>35</v>
      </c>
      <c r="H13" s="938">
        <f t="shared" si="0"/>
        <v>0</v>
      </c>
      <c r="I13" s="940">
        <f t="shared" si="0"/>
        <v>0</v>
      </c>
      <c r="J13" s="939">
        <f t="shared" si="0"/>
        <v>0</v>
      </c>
      <c r="K13" s="939">
        <f t="shared" si="0"/>
        <v>0</v>
      </c>
      <c r="L13" s="941">
        <f t="shared" si="0"/>
        <v>0</v>
      </c>
      <c r="M13" s="941">
        <f t="shared" si="0"/>
        <v>0</v>
      </c>
      <c r="N13" s="939">
        <f t="shared" si="0"/>
        <v>942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32</v>
      </c>
      <c r="AC13" s="939">
        <f t="shared" si="1"/>
        <v>0</v>
      </c>
      <c r="AD13" s="939">
        <f t="shared" si="1"/>
        <v>1505</v>
      </c>
      <c r="AE13" s="939">
        <f t="shared" si="1"/>
        <v>0</v>
      </c>
      <c r="AF13" s="939">
        <f t="shared" si="1"/>
        <v>12</v>
      </c>
      <c r="AG13" s="939">
        <f t="shared" si="1"/>
        <v>0</v>
      </c>
      <c r="AH13" s="939">
        <f t="shared" si="1"/>
        <v>4245</v>
      </c>
      <c r="AI13" s="939">
        <f t="shared" si="1"/>
        <v>0</v>
      </c>
      <c r="AJ13" s="939">
        <f t="shared" si="1"/>
        <v>0</v>
      </c>
      <c r="AK13" s="939">
        <f t="shared" si="1"/>
        <v>0</v>
      </c>
      <c r="AL13" s="939">
        <f t="shared" si="1"/>
        <v>901</v>
      </c>
      <c r="AM13" s="939">
        <f t="shared" si="1"/>
        <v>1752</v>
      </c>
      <c r="AN13" s="939">
        <f t="shared" si="1"/>
        <v>0</v>
      </c>
      <c r="AO13" s="939">
        <f t="shared" si="1"/>
        <v>0</v>
      </c>
      <c r="AP13" s="944">
        <f>IF(ISNUMBER(((Datos!L13/Datos!K13)*11)/factor_trimestre),((Datos!L13/Datos!K13)*11)/factor_trimestre," - ")</f>
        <v>6.8377588953797126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-0.91428571428571426</v>
      </c>
      <c r="AU13" s="939" t="str">
        <f>IF(ISNUMBER((DatosP!#REF!-DatosP!#REF!+DatosP!#REF!)/(DatosP!#REF!+DatosP!#REF!-DatosP!#REF!-DatosP!#REF!)),(DatosP!#REF!-DatosP!#REF!+DatosP!#REF!)/(DatosP!#REF!+DatosP!#REF!-DatosP!#REF!-DatosP!#REF!)," - ")</f>
        <v xml:space="preserve"> - </v>
      </c>
      <c r="AV13" s="945">
        <f>SUBTOTAL(9,AV9:AV12)</f>
        <v>-0.11746361746361747</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2.5044065804935371</v>
      </c>
      <c r="AQ18" s="944">
        <f>IF(ISNUMBER(((Datos!M18/Datos!L18)*11)/factor_trimestre),((Datos!M18/Datos!L18)*11)/factor_trimestre," - ")</f>
        <v>6.1032258064516123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9.3525179856115109E-2</v>
      </c>
      <c r="AW18" s="946">
        <f>IF(ISNUMBER((Datos!Q18-Datos!R18)/(Datos!S18-Datos!Q18+Datos!R18)),(Datos!Q18-Datos!R18)/(Datos!S18-Datos!Q18+Datos!R18)," - ")</f>
        <v>4.042806183115339E-2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35</v>
      </c>
      <c r="G19" s="951">
        <f t="shared" si="4"/>
        <v>35</v>
      </c>
      <c r="H19" s="951">
        <f t="shared" si="4"/>
        <v>0</v>
      </c>
      <c r="I19" s="952">
        <f t="shared" si="4"/>
        <v>0</v>
      </c>
      <c r="J19" s="953">
        <f t="shared" si="4"/>
        <v>0</v>
      </c>
      <c r="K19" s="953">
        <f t="shared" si="4"/>
        <v>0</v>
      </c>
      <c r="L19" s="953">
        <f t="shared" si="4"/>
        <v>0</v>
      </c>
      <c r="M19" s="953">
        <f t="shared" si="4"/>
        <v>0</v>
      </c>
      <c r="N19" s="952">
        <f t="shared" si="4"/>
        <v>942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32</v>
      </c>
      <c r="AC19" s="957">
        <f t="shared" si="5"/>
        <v>0</v>
      </c>
      <c r="AD19" s="957">
        <f t="shared" si="5"/>
        <v>1505</v>
      </c>
      <c r="AE19" s="957">
        <f t="shared" si="5"/>
        <v>0</v>
      </c>
      <c r="AF19" s="958">
        <f t="shared" si="5"/>
        <v>12</v>
      </c>
      <c r="AG19" s="958">
        <f t="shared" si="5"/>
        <v>0</v>
      </c>
      <c r="AH19" s="958">
        <f t="shared" si="5"/>
        <v>4245</v>
      </c>
      <c r="AI19" s="958">
        <f t="shared" si="5"/>
        <v>0</v>
      </c>
      <c r="AJ19" s="959">
        <f t="shared" si="5"/>
        <v>0</v>
      </c>
      <c r="AK19" s="959">
        <f t="shared" si="5"/>
        <v>0</v>
      </c>
      <c r="AL19" s="951">
        <f t="shared" si="5"/>
        <v>901</v>
      </c>
      <c r="AM19" s="951">
        <f t="shared" si="5"/>
        <v>1752</v>
      </c>
      <c r="AN19" s="951">
        <f t="shared" si="5"/>
        <v>0</v>
      </c>
      <c r="AO19" s="951">
        <f t="shared" si="5"/>
        <v>0</v>
      </c>
      <c r="AP19" s="951">
        <f>IF(ISNUMBER(((Datos!L19/Datos!K19)*11)/factor_trimestre),((Datos!L19/Datos!K19)*11)/factor_trimestre," - ")</f>
        <v>4.7804741980474192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-0.91428571428571426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-0.11367744527013457</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23.333333333333332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20.207259421636902</v>
      </c>
      <c r="G21" s="737">
        <f>IF(ISNUMBER(STDEV(G8:G18)),STDEV(G8:G18),"-")</f>
        <v>20.207259421636902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18.475208614068027</v>
      </c>
      <c r="AC21" s="738">
        <f>IF(ISNUMBER(STDEV(AC8:AC18)),STDEV(AC8:AC18),"-")</f>
        <v>0</v>
      </c>
      <c r="AD21" s="741"/>
      <c r="AE21" s="741"/>
      <c r="AF21" s="741"/>
      <c r="AG21" s="741"/>
      <c r="AH21" s="741"/>
      <c r="AI21" s="741"/>
      <c r="AJ21" s="742">
        <f>IF(ISNUMBER(STDEV(AJ8:AJ18)),STDEV(AJ8:AJ18),"-")</f>
        <v>0</v>
      </c>
      <c r="AK21" s="744"/>
      <c r="AL21" s="736">
        <f>IF(ISNUMBER(STDEV(AL8:AL18)),STDEV(AL8:AL18),"-")</f>
        <v>516.74010230804936</v>
      </c>
      <c r="AM21" s="736"/>
      <c r="AN21" s="736">
        <f>IF(ISNUMBER(STDEV(AN8:AN18)),STDEV(AN8:AN18),"-")</f>
        <v>0</v>
      </c>
      <c r="AO21" s="742">
        <f>IF(ISNUMBER(STDEV(AO8:AO18)),STDEV(AO8:AO18),"-")</f>
        <v>0</v>
      </c>
      <c r="AP21" s="779">
        <f>IF(ISNUMBER(STDEV(AP8:AP18)),STDEV(AP8:AP18),"-")</f>
        <v>2.1050285901074783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28 feb. 2025</v>
      </c>
      <c r="W30"/>
      <c r="X30"/>
    </row>
    <row r="32" spans="1:78">
      <c r="C32" s="774"/>
      <c r="D32" s="774"/>
      <c r="W32"/>
      <c r="X32"/>
    </row>
  </sheetData>
  <sheetProtection algorithmName="SHA-512" hashValue="hhk6Ez4h/5yTH6+Un60tBsZ0M76kqGB9eu8teVlSRn3rdQCV0Y+hjvk5Sgj8Bjq9unRuVJiqA3Rmttn/9GJ5ug==" saltValue="bfvUrTOgO2mPYPXfcZq18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MISLATA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28 feb. 2025</v>
      </c>
      <c r="B23" s="391"/>
      <c r="C23" s="391"/>
    </row>
    <row r="27" spans="1:13">
      <c r="A27" s="414"/>
      <c r="B27" s="414"/>
      <c r="C27" s="414"/>
    </row>
  </sheetData>
  <sheetProtection algorithmName="SHA-512" hashValue="+rxkz9bPm04Vh9C9g+AfJq0q35y1GfAzFenPsHQWiTuR+vuDbOyjlkaCMprw9PdjkYQj819HFQs6ImUPKuI8tg==" saltValue="/POe8TYkI2/C3JtWLpH4f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MISLATA</v>
      </c>
      <c r="BZ4" s="471"/>
    </row>
    <row r="5" spans="1:78" ht="15.75" customHeight="1">
      <c r="A5" s="1210" t="str">
        <f>"Año:  " &amp;Criterios!B5 &amp; "                  Trimestre   " &amp;Criterios!D5 &amp; " al " &amp;Criterios!D6</f>
        <v>Año:  2024                  Trimestre   1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6</v>
      </c>
      <c r="E10" s="404">
        <f>IF(ISNUMBER(D10/B10),D10/B10," - ")</f>
        <v>6</v>
      </c>
      <c r="F10" s="403">
        <f>IF(ISNUMBER(Datos!N10),Datos!N10," - ")</f>
        <v>18</v>
      </c>
      <c r="G10" s="404">
        <f>IF(ISNUMBER(F10/B10),F10/B10," - ")</f>
        <v>18</v>
      </c>
      <c r="H10" s="403">
        <f>IF(ISNUMBER(Datos!O10),Datos!O10," - ")</f>
        <v>6</v>
      </c>
      <c r="I10" s="404">
        <f t="shared" ref="I10:I12" si="2">IF(ISNUMBER(H10/B10),H10/B10," - ")</f>
        <v>6</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895</v>
      </c>
      <c r="E12" s="404">
        <f t="shared" si="0"/>
        <v>223.75</v>
      </c>
      <c r="F12" s="403">
        <f>IF(ISNUMBER(Datos!N12),Datos!N12," - ")</f>
        <v>1734</v>
      </c>
      <c r="G12" s="404">
        <f t="shared" si="1"/>
        <v>433.5</v>
      </c>
      <c r="H12" s="403">
        <f>IF(ISNUMBER(Datos!O12),Datos!O12," - ")</f>
        <v>1938</v>
      </c>
      <c r="I12" s="404">
        <f t="shared" si="2"/>
        <v>484.5</v>
      </c>
      <c r="BZ12" s="1186">
        <f>Datos!EZ12</f>
        <v>0</v>
      </c>
    </row>
    <row r="13" spans="1:78" ht="14.25" thickTop="1" thickBot="1">
      <c r="A13" s="848" t="str">
        <f>Datos!A13</f>
        <v>TOTAL</v>
      </c>
      <c r="B13" s="849">
        <f>Datos!AP13</f>
        <v>4</v>
      </c>
      <c r="C13" s="851">
        <f>Datos!AR13</f>
        <v>4</v>
      </c>
      <c r="D13" s="849">
        <f>SUBTOTAL(9,D9:D12)</f>
        <v>901</v>
      </c>
      <c r="E13" s="850">
        <f t="shared" si="0"/>
        <v>225.25</v>
      </c>
      <c r="F13" s="849">
        <f>SUBTOTAL(9,F9:F12)</f>
        <v>1752</v>
      </c>
      <c r="G13" s="850">
        <f t="shared" si="1"/>
        <v>438</v>
      </c>
      <c r="H13" s="849">
        <f>SUBTOTAL(9,H9:H12)</f>
        <v>1944</v>
      </c>
      <c r="I13" s="850">
        <f>IF(ISNUMBER(H13/B13),H13/B13," - ")</f>
        <v>486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415</v>
      </c>
      <c r="E16" s="404">
        <f t="shared" si="3"/>
        <v>103.75</v>
      </c>
      <c r="F16" s="403">
        <f>IF(ISNUMBER(Datos!N16),Datos!N16," - ")</f>
        <v>2103</v>
      </c>
      <c r="G16" s="404">
        <f t="shared" si="4"/>
        <v>525.75</v>
      </c>
      <c r="H16" s="403">
        <f>IF(ISNUMBER(Datos!O16),Datos!O16," - ")</f>
        <v>148</v>
      </c>
      <c r="I16" s="404">
        <f t="shared" si="5"/>
        <v>37</v>
      </c>
      <c r="BZ16" s="1186">
        <f>Datos!EZ16</f>
        <v>0</v>
      </c>
    </row>
    <row r="17" spans="1:78" ht="13.5" thickBot="1">
      <c r="A17" s="402" t="str">
        <f>Datos!A17</f>
        <v>Jdos. Violencia contra la mujer</v>
      </c>
      <c r="B17" s="427">
        <f>Datos!AO17</f>
        <v>1</v>
      </c>
      <c r="C17" s="428">
        <f>Datos!AQ17</f>
        <v>0</v>
      </c>
      <c r="D17" s="403">
        <f>IF(ISNUMBER(Datos!M17),Datos!M17," - ")</f>
        <v>15</v>
      </c>
      <c r="E17" s="404">
        <f>IF(ISNUMBER(D17/B17),D17/B17," - ")</f>
        <v>15</v>
      </c>
      <c r="F17" s="403">
        <f>IF(ISNUMBER(Datos!N17),Datos!N17," - ")</f>
        <v>71</v>
      </c>
      <c r="G17" s="404">
        <f>IF(ISNUMBER(F17/B17),F17/B17," - ")</f>
        <v>71</v>
      </c>
      <c r="H17" s="403">
        <f>IF(ISNUMBER(Datos!O17),Datos!O17," - ")</f>
        <v>2</v>
      </c>
      <c r="I17" s="404">
        <f t="shared" si="5"/>
        <v>2</v>
      </c>
      <c r="BZ17" s="1186">
        <f>Datos!EZ17</f>
        <v>0</v>
      </c>
    </row>
    <row r="18" spans="1:78" ht="14.25" thickTop="1" thickBot="1">
      <c r="A18" s="848" t="str">
        <f>Datos!A18</f>
        <v>TOTAL</v>
      </c>
      <c r="B18" s="849">
        <f>Datos!AP18</f>
        <v>4</v>
      </c>
      <c r="C18" s="851">
        <f>Datos!AR18</f>
        <v>4</v>
      </c>
      <c r="D18" s="849">
        <f>SUBTOTAL(9,D15:D17)</f>
        <v>430</v>
      </c>
      <c r="E18" s="850">
        <f t="shared" si="3"/>
        <v>107.5</v>
      </c>
      <c r="F18" s="849">
        <f>SUBTOTAL(9,F15:F17)</f>
        <v>2174</v>
      </c>
      <c r="G18" s="850">
        <f t="shared" si="4"/>
        <v>543.5</v>
      </c>
      <c r="H18" s="849">
        <f>SUBTOTAL(9,H15:H17)</f>
        <v>150</v>
      </c>
      <c r="I18" s="850">
        <f>IF(ISNUMBER(H18/B18),H18/B18," - ")</f>
        <v>37.5</v>
      </c>
      <c r="BZ18" s="1186"/>
    </row>
    <row r="19" spans="1:78" ht="14.25" thickTop="1" thickBot="1">
      <c r="A19" s="793" t="str">
        <f>Datos!A19</f>
        <v>TOTAL JURISDICCIONES</v>
      </c>
      <c r="B19" s="794">
        <f>Datos!AP19</f>
        <v>4</v>
      </c>
      <c r="C19" s="794">
        <f>Datos!AR19</f>
        <v>4</v>
      </c>
      <c r="D19" s="794">
        <f>SUBTOTAL(9,D8:D18)</f>
        <v>1331</v>
      </c>
      <c r="E19" s="795">
        <f>IF(ISNUMBER(D19/B19),D19/B19," - ")</f>
        <v>332.75</v>
      </c>
      <c r="F19" s="794">
        <f>SUBTOTAL(9,F8:F18)</f>
        <v>3926</v>
      </c>
      <c r="G19" s="795">
        <f>IF(ISNUMBER(F19/B19),F19/B19," - ")</f>
        <v>981.5</v>
      </c>
      <c r="H19" s="794">
        <f>SUBTOTAL(9,H8:H18)</f>
        <v>2094</v>
      </c>
      <c r="I19" s="795">
        <f>IF(ISNUMBER(H19/B19),H19/B19," - ")</f>
        <v>523.5</v>
      </c>
    </row>
    <row r="22" spans="1:78">
      <c r="A22" s="391" t="str">
        <f>Criterios!A4</f>
        <v>Fecha Informe: 28 feb. 2025</v>
      </c>
    </row>
    <row r="27" spans="1:78">
      <c r="A27" s="414"/>
    </row>
  </sheetData>
  <sheetProtection algorithmName="SHA-512" hashValue="xPy9TZmsfsHf3w2xwNGdDsjEOS60dOo+BIwZSjElgXTbE1F4QL32urUmQ3YhDjPFxSmIJFtiWUQFaxIzLGXMHw==" saltValue="vlLdyl/yxQ/V3dfHAiQGV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MISLATA</v>
      </c>
    </row>
    <row r="5" spans="1:4" ht="12.75" customHeight="1">
      <c r="A5" s="1210" t="str">
        <f>"Año:  " &amp;Criterios!B5 &amp; "                  Trimestre   " &amp;Criterios!D5 &amp; " al " &amp;Criterios!D6</f>
        <v>Año:  2024                  Trimestre   1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16</v>
      </c>
      <c r="D10" s="408">
        <f>IF(ISNUMBER(Datos!R10),Datos!R10," - ")</f>
        <v>16</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940</v>
      </c>
      <c r="C12" s="434">
        <f>IF(ISNUMBER(Datos!Q12),Datos!Q12," - ")</f>
        <v>1505</v>
      </c>
      <c r="D12" s="408">
        <f>IF(ISNUMBER(Datos!R12),Datos!R12," - ")</f>
        <v>4245</v>
      </c>
    </row>
    <row r="13" spans="1:4" ht="14.25" thickTop="1" thickBot="1">
      <c r="A13" s="848" t="str">
        <f>Datos!A13</f>
        <v>TOTAL</v>
      </c>
      <c r="B13" s="849">
        <f>SUBTOTAL(9,B9:B12)</f>
        <v>942</v>
      </c>
      <c r="C13" s="853">
        <f>SUBTOTAL(9,C9:C12)</f>
        <v>1521</v>
      </c>
      <c r="D13" s="851">
        <f>SUBTOTAL(9,D9:D12)</f>
        <v>4261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197</v>
      </c>
      <c r="C16" s="434">
        <f>IF(ISNUMBER(Datos!Q16),Datos!Q16," - ")</f>
        <v>184</v>
      </c>
      <c r="D16" s="408">
        <f>IF(ISNUMBER(Datos!R16),Datos!R16," - ")</f>
        <v>152</v>
      </c>
    </row>
    <row r="17" spans="1:4" ht="13.5" thickBot="1">
      <c r="A17" s="402" t="str">
        <f>Datos!A17</f>
        <v>Jdos. Violencia contra la mujer</v>
      </c>
      <c r="B17" s="433">
        <f>IF(ISNUMBER(Datos!P17),Datos!P17," - ")</f>
        <v>2</v>
      </c>
      <c r="C17" s="434">
        <f>IF(ISNUMBER(Datos!Q17),Datos!Q17," - ")</f>
        <v>2</v>
      </c>
      <c r="D17" s="408">
        <f>IF(ISNUMBER(Datos!R17),Datos!R17," - ")</f>
        <v>0</v>
      </c>
    </row>
    <row r="18" spans="1:4" ht="14.25" thickTop="1" thickBot="1">
      <c r="A18" s="848" t="str">
        <f>Datos!A18</f>
        <v>TOTAL</v>
      </c>
      <c r="B18" s="849">
        <f>SUBTOTAL(9,B15:B17)</f>
        <v>199</v>
      </c>
      <c r="C18" s="853">
        <f>SUBTOTAL(9,C15:C17)</f>
        <v>186</v>
      </c>
      <c r="D18" s="851">
        <f>SUBTOTAL(9,D15:D17)</f>
        <v>152</v>
      </c>
    </row>
    <row r="19" spans="1:4" ht="16.5" customHeight="1" thickTop="1" thickBot="1">
      <c r="A19" s="793" t="str">
        <f>Datos!A19</f>
        <v>TOTAL JURISDICCIONES</v>
      </c>
      <c r="B19" s="798">
        <f>SUBTOTAL(9,B8:B18)</f>
        <v>1141</v>
      </c>
      <c r="C19" s="799">
        <f>SUBTOTAL(9,C8:C18)</f>
        <v>1707</v>
      </c>
      <c r="D19" s="800">
        <f>SUBTOTAL(9,D8:D18)</f>
        <v>4413</v>
      </c>
    </row>
    <row r="20" spans="1:4" ht="7.5" customHeight="1"/>
    <row r="21" spans="1:4" ht="6" customHeight="1"/>
    <row r="22" spans="1:4">
      <c r="A22" s="391" t="str">
        <f>Criterios!A4</f>
        <v>Fecha Informe: 28 feb. 2025</v>
      </c>
    </row>
    <row r="27" spans="1:4">
      <c r="A27" s="414"/>
    </row>
  </sheetData>
  <sheetProtection algorithmName="SHA-512" hashValue="F1r/wapjNrjnZBmC+dhiua9NpNFXRc1c2IaWPVUOjW08767DNutn6ICQBiviJFp3fGBpvSTi1FrRYcVJ5+osAw==" saltValue="60uBNPUTCKKEA017GVWD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MISLATA</v>
      </c>
    </row>
    <row r="5" spans="1:11" ht="12.75" customHeight="1">
      <c r="A5" s="1210" t="str">
        <f>"Año:  " &amp;Criterios!B5 &amp; "    Trimestre   " &amp;Criterios!D5 &amp; " al " &amp;Criterios!D6</f>
        <v>Año:  2024    Trimestre   1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0.16666666666666666</v>
      </c>
      <c r="C10" s="456">
        <f>IF(ISNUMBER((Datos!J10-Datos!T10)/Datos!T10),(Datos!J10-Datos!T10)/Datos!T10," - ")</f>
        <v>-0.7567567567567568</v>
      </c>
      <c r="D10" s="456">
        <f>IF(ISNUMBER((Datos!K10-Datos!U10)/Datos!U10),(Datos!K10-Datos!U10)/Datos!U10," - ")</f>
        <v>0.88235294117647056</v>
      </c>
      <c r="E10" s="456">
        <f>IF(ISNUMBER((Datos!L10-Datos!V10)/Datos!V10),(Datos!L10-Datos!V10)/Datos!V10," - ")</f>
        <v>-0.65714285714285714</v>
      </c>
      <c r="F10" s="456">
        <f>IF(ISNUMBER((Datos!M10-Datos!W10)/Datos!W10),(Datos!M10-Datos!W10)/Datos!W10," - ")</f>
        <v>-0.4</v>
      </c>
      <c r="G10" s="457">
        <f>IF(ISNUMBER((Datos!N10-Datos!X10)/Datos!X10),(Datos!N10-Datos!X10)/Datos!X10," - ")</f>
        <v>1</v>
      </c>
      <c r="H10" s="455">
        <f>IF(ISNUMBER(((NºAsuntos!G10/NºAsuntos!E10)-Datos!BD10)/Datos!BD10),((NºAsuntos!G10/NºAsuntos!E10)-Datos!BD10)/Datos!BD10," - ")</f>
        <v>6.7385620915032671</v>
      </c>
      <c r="I10" s="456">
        <f>IF(ISNUMBER(((NºAsuntos!I10/NºAsuntos!G10)-Datos!BE10)/Datos!BE10),((NºAsuntos!I10/NºAsuntos!G10)-Datos!BE10)/Datos!BE10," - ")</f>
        <v>-0.81785714285714284</v>
      </c>
      <c r="J10" s="461">
        <f>IF(ISNUMBER((('Resol  Asuntos'!D10/NºAsuntos!G10)-Datos!BF10)/Datos!BF10),(('Resol  Asuntos'!D10/NºAsuntos!G10)-Datos!BF10)/Datos!BF10," - ")</f>
        <v>-0.68125000000000002</v>
      </c>
      <c r="K10" s="462">
        <f>IF(ISNUMBER((((NºAsuntos!C10+NºAsuntos!E10)/NºAsuntos!G10)-Datos!BG10)/Datos!BG10),(((NºAsuntos!C10+NºAsuntos!E10)/NºAsuntos!G10)-Datos!BG10)/Datos!BG10," - ")</f>
        <v>-0.65111940298507465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7.6879910213243544E-2</v>
      </c>
      <c r="C12" s="456">
        <f>IF(ISNUMBER(
   IF(J_V="SI",(Datos!J12-Datos!T12)/Datos!T12,(Datos!J12+Datos!Z12-(Datos!T12+Datos!AH12))/(Datos!T12+Datos!AH12))
     ),IF(J_V="SI",(Datos!J12-Datos!T12)/Datos!T12,(Datos!J12+Datos!Z12-(Datos!T12+Datos!AH12))/(Datos!T12+Datos!AH12))," - ")</f>
        <v>0.17993630573248406</v>
      </c>
      <c r="D12" s="456">
        <f>IF(ISNUMBER(
   IF(J_V="SI",(Datos!K12-Datos!U12)/Datos!U12,(Datos!K12+Datos!AA12-(Datos!U12+Datos!AI12))/(Datos!U12+Datos!AI12))
     ),IF(J_V="SI",(Datos!K12-Datos!U12)/Datos!U12,(Datos!K12+Datos!AA12-(Datos!U12+Datos!AI12))/(Datos!U12+Datos!AI12))," - ")</f>
        <v>9.2290688035368884E-2</v>
      </c>
      <c r="E12" s="456">
        <f>IF(ISNUMBER(
   IF(J_V="SI",(Datos!L12-Datos!V12)/Datos!V12,(Datos!L12+Datos!AB12-(Datos!V12+Datos!AJ12))/(Datos!V12+Datos!AJ12))
     ),IF(J_V="SI",(Datos!L12-Datos!V12)/Datos!V12,(Datos!L12+Datos!AB12-(Datos!V12+Datos!AJ12))/(Datos!V12+Datos!AJ12))," - ")</f>
        <v>0.2569046378322043</v>
      </c>
      <c r="F12" s="456">
        <f>IF(ISNUMBER((Datos!M12-Datos!W12)/Datos!W12),(Datos!M12-Datos!W12)/Datos!W12," - ")</f>
        <v>0.38330757341576505</v>
      </c>
      <c r="G12" s="457">
        <f>IF(ISNUMBER((Datos!N12-Datos!X12)/Datos!X12),(Datos!N12-Datos!X12)/Datos!X12," - ")</f>
        <v>4.5207956600361664E-2</v>
      </c>
      <c r="H12" s="455">
        <f>IF(ISNUMBER(((NºAsuntos!G12/NºAsuntos!E12)-Datos!BD12)/Datos!BD12),((NºAsuntos!G12/NºAsuntos!E12)-Datos!BD12)/Datos!BD12," - ")</f>
        <v>-7.4279956698769717E-2</v>
      </c>
      <c r="I12" s="456">
        <f>IF(ISNUMBER(((NºAsuntos!I12/NºAsuntos!G12)-Datos!BE12)/Datos!BE12),((NºAsuntos!I12/NºAsuntos!G12)-Datos!BE12)/Datos!BE12," - ")</f>
        <v>0.15070525785852459</v>
      </c>
      <c r="J12" s="461">
        <f>IF(ISNUMBER((('Resol  Asuntos'!D12/NºAsuntos!G12)-Datos!BF12)/Datos!BF12),(('Resol  Asuntos'!D12/NºAsuntos!G12)-Datos!BF12)/Datos!BF12," - ")</f>
        <v>-0.50610069156470383</v>
      </c>
      <c r="K12" s="462">
        <f>IF(ISNUMBER((((NºAsuntos!C12+NºAsuntos!E12)/NºAsuntos!G12)-Datos!BG12)/Datos!BG12),(((NºAsuntos!C12+NºAsuntos!E12)/NºAsuntos!G12)-Datos!BG12)/Datos!BG12," - ")</f>
        <v>4.99465567262177E-2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7.8366445916114788E-2</v>
      </c>
      <c r="C13" s="855">
        <f>IF(ISNUMBER(
   IF(J_V="SI",(Datos!J13-Datos!T13)/Datos!T13,(Datos!J13+Datos!Z13-(Datos!T13+Datos!AH13))/(Datos!T13+Datos!AH13))
     ),IF(J_V="SI",(Datos!J13-Datos!T13)/Datos!T13,(Datos!J13+Datos!Z13-(Datos!T13+Datos!AH13))/(Datos!T13+Datos!AH13))," - ")</f>
        <v>0.17082785808147175</v>
      </c>
      <c r="D13" s="855">
        <f>IF(ISNUMBER(
   IF(J_V="SI",(Datos!K13-Datos!U13)/Datos!U13,(Datos!K13+Datos!AA13-(Datos!U13+Datos!AI13))/(Datos!U13+Datos!AI13))
     ),IF(J_V="SI",(Datos!K13-Datos!U13)/Datos!U13,(Datos!K13+Datos!AA13-(Datos!U13+Datos!AI13))/(Datos!U13+Datos!AI13))," - ")</f>
        <v>9.5984598459845985E-2</v>
      </c>
      <c r="E13" s="855">
        <f>IF(ISNUMBER(
   IF(J_V="SI",(Datos!L13-Datos!V13)/Datos!V13,(Datos!L13+Datos!AB13-(Datos!V13+Datos!AJ13))/(Datos!V13+Datos!AJ13))
     ),IF(J_V="SI",(Datos!L13-Datos!V13)/Datos!V13,(Datos!L13+Datos!AB13-(Datos!V13+Datos!AJ13))/(Datos!V13+Datos!AJ13))," - ")</f>
        <v>0.24053224155578301</v>
      </c>
      <c r="F13" s="856">
        <f>IF(ISNUMBER((Datos!M13-Datos!W13)/Datos!W13),(Datos!M13-Datos!W13)/Datos!W13," - ")</f>
        <v>0.37138508371385082</v>
      </c>
      <c r="G13" s="857">
        <f>IF(ISNUMBER((Datos!N13-Datos!X13)/Datos!X13),(Datos!N13-Datos!X13)/Datos!X13," - ")</f>
        <v>5.0359712230215826E-2</v>
      </c>
      <c r="H13" s="857">
        <f>IF(ISNUMBER(((NºAsuntos!G13/NºAsuntos!E13)-Datos!BD13)/Datos!BD13),((NºAsuntos!G13/NºAsuntos!E13)-Datos!BD13)/Datos!BD13," - ")</f>
        <v>-6.3923367645406515E-2</v>
      </c>
      <c r="I13" s="857">
        <f>IF(ISNUMBER(((NºAsuntos!I13/NºAsuntos!G13)-Datos!BE13)/Datos!BE13),((NºAsuntos!I13/NºAsuntos!G13)-Datos!BE13)/Datos!BE13," - ")</f>
        <v>0.13188838903308092</v>
      </c>
      <c r="J13" s="857">
        <f>IF(ISNUMBER((('Resol  Asuntos'!D13/NºAsuntos!G13)-Datos!BF13)/Datos!BF13),(('Resol  Asuntos'!D13/NºAsuntos!G13)-Datos!BF13)/Datos!BF13," - ")</f>
        <v>-0.50743448507096345</v>
      </c>
      <c r="K13" s="857">
        <f>IF(ISNUMBER((((NºAsuntos!C13+NºAsuntos!E13)/NºAsuntos!G13)-Datos!BG13)/Datos!BG13),(((NºAsuntos!C13+NºAsuntos!E13)/NºAsuntos!G13)-Datos!BG13)/Datos!BG13," - ")</f>
        <v>4.1073511157315168E-2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0.31800766283524906</v>
      </c>
      <c r="C16" s="456">
        <f>IF(ISNUMBER(
   IF(D_I="SI",(Datos!J16-Datos!T16)/Datos!T16,(Datos!J16+Datos!AD16-(Datos!T16+Datos!AL16))/(Datos!T16+Datos!AL16))
     ),IF(D_I="SI",(Datos!J16-Datos!T16)/Datos!T16,(Datos!J16+Datos!AD16-(Datos!T16+Datos!AL16))/(Datos!T16+Datos!AL16))," - ")</f>
        <v>-9.4544415881176805E-2</v>
      </c>
      <c r="D16" s="456">
        <f>IF(ISNUMBER(
   IF(D_I="SI",(Datos!K16-Datos!U16)/Datos!U16,(Datos!K16+Datos!AE16-(Datos!U16+Datos!AM16))/(Datos!U16+Datos!AM16))
     ),IF(D_I="SI",(Datos!K16-Datos!U16)/Datos!U16,(Datos!K16+Datos!AE16-(Datos!U16+Datos!AM16))/(Datos!U16+Datos!AM16))," - ")</f>
        <v>-1.1728395061728396E-2</v>
      </c>
      <c r="E16" s="456">
        <f>IF(ISNUMBER(
   IF(D_I="SI",(Datos!L16-Datos!V16)/Datos!V16,(Datos!L16+Datos!AF16-(Datos!V16+Datos!AN16))/(Datos!V16+Datos!AN16))
     ),IF(D_I="SI",(Datos!L16-Datos!V16)/Datos!V16,(Datos!L16+Datos!AF16-(Datos!V16+Datos!AN16))/(Datos!V16+Datos!AN16))," - ")</f>
        <v>-0.25872093023255816</v>
      </c>
      <c r="F16" s="456">
        <f>IF(ISNUMBER((Datos!M16-Datos!W16)/Datos!W16),(Datos!M16-Datos!W16)/Datos!W16," - ")</f>
        <v>2.7227722772277228E-2</v>
      </c>
      <c r="G16" s="457">
        <f>IF(ISNUMBER((Datos!N16-Datos!X16)/Datos!X16),(Datos!N16-Datos!X16)/Datos!X16," - ")</f>
        <v>4.2120911793855305E-2</v>
      </c>
      <c r="H16" s="455">
        <f>IF(ISNUMBER(((NºAsuntos!G16/NºAsuntos!E16)-Datos!BD16)/Datos!BD16),((NºAsuntos!G16/NºAsuntos!E16)-Datos!BD16)/Datos!BD16," - ")</f>
        <v>9.1463371889239323E-2</v>
      </c>
      <c r="I16" s="456">
        <f>IF(ISNUMBER(((NºAsuntos!I16/NºAsuntos!G16)-Datos!BE16)/Datos!BE16),((NºAsuntos!I16/NºAsuntos!G16)-Datos!BE16)/Datos!BE16," - ")</f>
        <v>-0.24992373952326311</v>
      </c>
      <c r="J16" s="461">
        <f>IF(ISNUMBER((('Resol  Asuntos'!D16/NºAsuntos!G16)-Datos!BF16)/Datos!BF16),(('Resol  Asuntos'!D16/NºAsuntos!G16)-Datos!BF16)/Datos!BF16," - ")</f>
        <v>3.9418432786439167E-2</v>
      </c>
      <c r="K16" s="462">
        <f>IF(ISNUMBER((((NºAsuntos!C16+NºAsuntos!E16)/NºAsuntos!G16)-Datos!BG16)/Datos!BG16),(((NºAsuntos!C16+NºAsuntos!E16)/NºAsuntos!G16)-Datos!BG16)/Datos!BG16," - ")</f>
        <v>-7.5005642481852479E-3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0.16304347826086957</v>
      </c>
      <c r="C17" s="456">
        <f>IF(ISNUMBER(
   IF(D_I="SI",(Datos!J17-Datos!T17)/Datos!T17,(Datos!J17+Datos!AD17-(Datos!T17+Datos!AL17))/(Datos!T17+Datos!AL17))
     ),IF(D_I="SI",(Datos!J17-Datos!T17)/Datos!T17,(Datos!J17+Datos!AD17-(Datos!T17+Datos!AL17))/(Datos!T17+Datos!AL17))," - ")</f>
        <v>-0.72282608695652173</v>
      </c>
      <c r="D17" s="456">
        <f>IF(ISNUMBER(
   IF(D_I="SI",(Datos!K17-Datos!U17)/Datos!U17,(Datos!K17+Datos!AE17-(Datos!U17+Datos!AM17))/(Datos!U17+Datos!AM17))
     ),IF(D_I="SI",(Datos!K17-Datos!U17)/Datos!U17,(Datos!K17+Datos!AE17-(Datos!U17+Datos!AM17))/(Datos!U17+Datos!AM17))," - ")</f>
        <v>-0.42937853107344631</v>
      </c>
      <c r="E17" s="456">
        <f>IF(ISNUMBER(
   IF(D_I="SI",(Datos!L17-Datos!V17)/Datos!V17,(Datos!L17+Datos!AF17-(Datos!V17+Datos!AN17))/(Datos!V17+Datos!AN17))
     ),IF(D_I="SI",(Datos!L17-Datos!V17)/Datos!V17,(Datos!L17+Datos!AF17-(Datos!V17+Datos!AN17))/(Datos!V17+Datos!AN17))," - ")</f>
        <v>-0.90654205607476634</v>
      </c>
      <c r="F17" s="456">
        <f>IF(ISNUMBER((Datos!M17-Datos!W17)/Datos!W17),(Datos!M17-Datos!W17)/Datos!W17," - ")</f>
        <v>-0.625</v>
      </c>
      <c r="G17" s="457">
        <f>IF(ISNUMBER((Datos!N17-Datos!X17)/Datos!X17),(Datos!N17-Datos!X17)/Datos!X17," - ")</f>
        <v>-0.64141414141414144</v>
      </c>
      <c r="H17" s="455">
        <f>IF(ISNUMBER(((NºAsuntos!G17/NºAsuntos!E17)-Datos!BD17)/Datos!BD17),((NºAsuntos!G17/NºAsuntos!E17)-Datos!BD17)/Datos!BD17," - ")</f>
        <v>1.058712750636978</v>
      </c>
      <c r="I17" s="456">
        <f>IF(ISNUMBER(((NºAsuntos!I17/NºAsuntos!G17)-Datos!BE17)/Datos!BE17),((NºAsuntos!I17/NºAsuntos!G17)-Datos!BE17)/Datos!BE17," - ")</f>
        <v>-0.83621726658647177</v>
      </c>
      <c r="J17" s="461">
        <f>IF(ISNUMBER((('Resol  Asuntos'!D17/NºAsuntos!G17)-Datos!BF17)/Datos!BF17),(('Resol  Asuntos'!D17/NºAsuntos!G17)-Datos!BF17)/Datos!BF17," - ")</f>
        <v>-0.34282178217821785</v>
      </c>
      <c r="K17" s="462">
        <f>IF(ISNUMBER((((NºAsuntos!C17+NºAsuntos!E17)/NºAsuntos!G17)-Datos!BG17)/Datos!BG17),(((NºAsuntos!C17+NºAsuntos!E17)/NºAsuntos!G17)-Datos!BG17)/Datos!BG17," - ")</f>
        <v>-0.20376668101592765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0.30171428571428571</v>
      </c>
      <c r="C18" s="855">
        <f>IF(ISNUMBER(
   IF(Criterios!B14="SI",(Datos!J18-Datos!T18)/Datos!T18,(Datos!J18+Datos!AD18-(Datos!T18+Datos!AL18))/(Datos!T18+Datos!AL18))
     ),IF(Criterios!B14="SI",(Datos!J18-Datos!T18)/Datos!T18,(Datos!J18+Datos!AD18-(Datos!T18+Datos!AL18))/(Datos!T18+Datos!AL18))," - ")</f>
        <v>-0.15430343758077023</v>
      </c>
      <c r="D18" s="855">
        <f>IF(ISNUMBER(
   IF(Criterios!B14="SI",(Datos!K18-Datos!U18)/Datos!U18,(Datos!K18+Datos!AE18-(Datos!U18+Datos!AM18))/(Datos!U18+Datos!AM18))
     ),IF(Criterios!B14="SI",(Datos!K18-Datos!U18)/Datos!U18,(Datos!K18+Datos!AE18-(Datos!U18+Datos!AM18))/(Datos!U18+Datos!AM18))," - ")</f>
        <v>-5.2865887590428491E-2</v>
      </c>
      <c r="E18" s="855">
        <f>IF(ISNUMBER(
   IF(Criterios!B14="SI",(Datos!L18-Datos!V18)/Datos!V18,(Datos!L18+Datos!AF18-(Datos!V18+Datos!AN18))/(Datos!V18+Datos!AN18))
     ),IF(Criterios!B14="SI",(Datos!L18-Datos!V18)/Datos!V18,(Datos!L18+Datos!AF18-(Datos!V18+Datos!AN18))/(Datos!V18+Datos!AN18))," - ")</f>
        <v>-0.31957857769973663</v>
      </c>
      <c r="F18" s="856">
        <f>IF(ISNUMBER((Datos!M18-Datos!W18)/Datos!W18),(Datos!M18-Datos!W18)/Datos!W18," - ")</f>
        <v>-3.1531531531531529E-2</v>
      </c>
      <c r="G18" s="857">
        <f>IF(ISNUMBER((Datos!N18-Datos!X18)/Datos!X18),(Datos!N18-Datos!X18)/Datos!X18," - ")</f>
        <v>-1.895306859205776E-2</v>
      </c>
      <c r="H18" s="857">
        <f>IF(ISNUMBER(((NºAsuntos!G18/NºAsuntos!E18)-Datos!BD18)/Datos!BD18),((NºAsuntos!G18/NºAsuntos!E18)-Datos!BD18)/Datos!BD18," - ")</f>
        <v>0.11994556262611021</v>
      </c>
      <c r="I18" s="857">
        <f>IF(ISNUMBER(((NºAsuntos!I18/NºAsuntos!G18)-Datos!BE18)/Datos!BE18),((NºAsuntos!I18/NºAsuntos!G18)-Datos!BE18)/Datos!BE18," - ")</f>
        <v>-0.28159970865242451</v>
      </c>
      <c r="J18" s="857">
        <f>IF(ISNUMBER((('Resol  Asuntos'!D18/NºAsuntos!G18)-Datos!BF18)/Datos!BF18),(('Resol  Asuntos'!D18/NºAsuntos!G18)-Datos!BF18)/Datos!BF18," - ")</f>
        <v>2.2525169117413407E-2</v>
      </c>
      <c r="K18" s="857">
        <f>IF(ISNUMBER((((NºAsuntos!C18+NºAsuntos!E18)/NºAsuntos!G18)-Datos!BG18)/Datos!BG18),(((NºAsuntos!C18+NºAsuntos!E18)/NºAsuntos!G18)-Datos!BG18)/Datos!BG18," - ")</f>
        <v>-1.8295235443669986E-2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0.15109787867510235</v>
      </c>
      <c r="C19" s="802">
        <f>IF(ISNUMBER(
   IF(J_V="SI",(Datos!J19-Datos!T19)/Datos!T19,(Datos!J19+Datos!Z19-(Datos!T19+Datos!AH19))/(Datos!T19+Datos!AH19))
     ),IF(J_V="SI",(Datos!J19-Datos!T19)/Datos!T19,(Datos!J19+Datos!Z19-(Datos!T19+Datos!AH19))/(Datos!T19+Datos!AH19))," - ")</f>
        <v>6.9064373208235601E-3</v>
      </c>
      <c r="D19" s="802">
        <f>IF(ISNUMBER(
   IF(J_V="SI",(Datos!K19-Datos!U19)/Datos!U19,(Datos!K19+Datos!AA19-(Datos!U19+Datos!AI19))/(Datos!U19+Datos!AI19))
     ),IF(J_V="SI",(Datos!K19-Datos!U19)/Datos!U19,(Datos!K19+Datos!AA19-(Datos!U19+Datos!AI19))/(Datos!U19+Datos!AI19))," - ")</f>
        <v>2.199170124481328E-2</v>
      </c>
      <c r="E19" s="802">
        <f>IF(ISNUMBER(
   IF(J_V="SI",(Datos!L19-Datos!V19)/Datos!V19,(Datos!L19+Datos!AB19-(Datos!V19+Datos!AJ19))/(Datos!V19+Datos!AJ19))
     ),IF(J_V="SI",(Datos!L19-Datos!V19)/Datos!V19,(Datos!L19+Datos!AB19-(Datos!V19+Datos!AJ19))/(Datos!V19+Datos!AJ19))," - ")</f>
        <v>3.427093436792758E-2</v>
      </c>
      <c r="F19" s="803">
        <f>IF(ISNUMBER((Datos!M19-Datos!W19)/Datos!W19),(Datos!M19-Datos!W19)/Datos!W19," - ")</f>
        <v>0.20890099909173479</v>
      </c>
      <c r="G19" s="804">
        <f>IF(ISNUMBER((Datos!N19-Datos!X19)/Datos!X19),(Datos!N19-Datos!X19)/Datos!X19," - ")</f>
        <v>1.0813594232749742E-2</v>
      </c>
      <c r="H19" s="805">
        <f>IF(ISNUMBER((Tasas!B19-Datos!BD19)/Datos!BD19),(Tasas!B19-Datos!BD19)/Datos!BD19," - ")</f>
        <v>1.4981793108929444E-2</v>
      </c>
      <c r="I19" s="806">
        <f>IF(ISNUMBER((Tasas!C19-Datos!BE19)/Datos!BE19),(Tasas!C19-Datos!BE19)/Datos!BE19," - ")</f>
        <v>1.2015002771703469E-2</v>
      </c>
      <c r="J19" s="807">
        <f>IF(ISNUMBER((Tasas!D19-Datos!BF19)/Datos!BF19),(Tasas!D19-Datos!BF19)/Datos!BF19," - ")</f>
        <v>-0.38364462286035889</v>
      </c>
      <c r="K19" s="807">
        <f>IF(ISNUMBER((Tasas!E19-Datos!BG19)/Datos!BG19),(Tasas!E19-Datos!BG19)/Datos!BG19," - ")</f>
        <v>2.1828985401273031E-2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28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M6tbREWJazjAFYzAEmton/i53BcApuflppMF5S36Y3ful9JCXbsqwWx0cuewZzePaNUz5izyxJesUFdO2R9EGw==" saltValue="FnQAhxRC0ttPW/H73PPc/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MISLATA</v>
      </c>
    </row>
    <row r="5" spans="1:7" ht="12.75" customHeight="1">
      <c r="A5" s="1210" t="str">
        <f>"Año:  " &amp;Criterios!B5 &amp; "    Trimestre   " &amp;Criterios!D5 &amp; " al " &amp;Criterios!D6</f>
        <v>Año:  2024    Trimestre   1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3.5555555555555554</v>
      </c>
      <c r="C10" s="443">
        <f>IF(ISNUMBER(NºAsuntos!I10/NºAsuntos!G10),NºAsuntos!I10/NºAsuntos!G10," - ")</f>
        <v>0.375</v>
      </c>
      <c r="D10" s="444">
        <f>IF(ISNUMBER('Resol  Asuntos'!D10/NºAsuntos!G10),'Resol  Asuntos'!D10/NºAsuntos!G10," - ")</f>
        <v>0.1875</v>
      </c>
      <c r="E10" s="445">
        <f>IF(ISNUMBER((NºAsuntos!C10+NºAsuntos!E10)/NºAsuntos!G10),(NºAsuntos!C10+NºAsuntos!E10)/NºAsuntos!G10," - ")</f>
        <v>1.375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0.88911381016644175</v>
      </c>
      <c r="C12" s="443">
        <f>IF(ISNUMBER(NºAsuntos!I12/NºAsuntos!G12),NºAsuntos!I12/NºAsuntos!G12," - ")</f>
        <v>0.61016949152542377</v>
      </c>
      <c r="D12" s="444">
        <f>IF(ISNUMBER('Resol  Asuntos'!D12/NºAsuntos!G12),'Resol  Asuntos'!D12/NºAsuntos!G12," - ")</f>
        <v>0.22641032127498104</v>
      </c>
      <c r="E12" s="445">
        <f>IF(ISNUMBER((NºAsuntos!C12+NºAsuntos!E12)/NºAsuntos!G12),(NºAsuntos!C12+NºAsuntos!E12)/NºAsuntos!G12," - ")</f>
        <v>1.6101694915254237</v>
      </c>
      <c r="G12" s="463"/>
    </row>
    <row r="13" spans="1:7" ht="14.25" thickTop="1" thickBot="1">
      <c r="A13" s="848" t="str">
        <f>Datos!A13</f>
        <v>TOTAL</v>
      </c>
      <c r="B13" s="858">
        <f>IF(ISNUMBER(NºAsuntos!G13/NºAsuntos!E13),NºAsuntos!G13/NºAsuntos!E13," - ")</f>
        <v>0.89450056116722787</v>
      </c>
      <c r="C13" s="859">
        <f>IF(ISNUMBER(NºAsuntos!I13/NºAsuntos!G13),NºAsuntos!I13/NºAsuntos!G13," - ")</f>
        <v>0.60828105395232124</v>
      </c>
      <c r="D13" s="860">
        <f>IF(ISNUMBER('Resol  Asuntos'!D13/NºAsuntos!G13),'Resol  Asuntos'!D13/NºAsuntos!G13," - ")</f>
        <v>0.2260978670012547</v>
      </c>
      <c r="E13" s="861">
        <f>IF(ISNUMBER((NºAsuntos!C13+NºAsuntos!E13)/NºAsuntos!G13),(NºAsuntos!C13+NºAsuntos!E13)/NºAsuntos!G13," - ")</f>
        <v>1.6082810539523211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1.0100946372239747</v>
      </c>
      <c r="C16" s="443">
        <f>IF(ISNUMBER(NºAsuntos!I16/NºAsuntos!G16),NºAsuntos!I16/NºAsuntos!G16," - ")</f>
        <v>0.23891317926296066</v>
      </c>
      <c r="D16" s="444">
        <f>IF(ISNUMBER('Resol  Asuntos'!D16/NºAsuntos!G16),'Resol  Asuntos'!D16/NºAsuntos!G16," - ")</f>
        <v>0.12960649594003748</v>
      </c>
      <c r="E16" s="445">
        <f>IF(ISNUMBER((NºAsuntos!C16+NºAsuntos!E16)/NºAsuntos!G16),(NºAsuntos!C16+NºAsuntos!E16)/NºAsuntos!G16," - ")</f>
        <v>1.3123048094940661</v>
      </c>
      <c r="G16" s="463"/>
    </row>
    <row r="17" spans="1:7" ht="13.5" thickBot="1">
      <c r="A17" s="402" t="str">
        <f>Datos!A17</f>
        <v>Jdos. Violencia contra la mujer</v>
      </c>
      <c r="B17" s="442">
        <f>IF(ISNUMBER(NºAsuntos!G17/NºAsuntos!E17),NºAsuntos!G17/NºAsuntos!E17," - ")</f>
        <v>1.9803921568627452</v>
      </c>
      <c r="C17" s="443">
        <f>IF(ISNUMBER(NºAsuntos!I17/NºAsuntos!G17),NºAsuntos!I17/NºAsuntos!G17," - ")</f>
        <v>4.9504950495049507E-2</v>
      </c>
      <c r="D17" s="444">
        <f>IF(ISNUMBER('Resol  Asuntos'!D17/NºAsuntos!G17),'Resol  Asuntos'!D17/NºAsuntos!G17," - ")</f>
        <v>7.4257425742574254E-2</v>
      </c>
      <c r="E17" s="445">
        <f>IF(ISNUMBER((NºAsuntos!C17+NºAsuntos!E17)/NºAsuntos!G17),(NºAsuntos!C17+NºAsuntos!E17)/NºAsuntos!G17," - ")</f>
        <v>1.0346534653465347</v>
      </c>
      <c r="G17" s="463"/>
    </row>
    <row r="18" spans="1:7" ht="14.25" thickTop="1" thickBot="1">
      <c r="A18" s="848" t="str">
        <f>Datos!A18</f>
        <v>TOTAL</v>
      </c>
      <c r="B18" s="858">
        <f>IF(ISNUMBER(NºAsuntos!G18/NºAsuntos!E18),NºAsuntos!G18/NºAsuntos!E18," - ")</f>
        <v>1.0403422982885087</v>
      </c>
      <c r="C18" s="859">
        <f>IF(ISNUMBER(NºAsuntos!I18/NºAsuntos!G18),NºAsuntos!I18/NºAsuntos!G18," - ")</f>
        <v>0.22767332549941247</v>
      </c>
      <c r="D18" s="862">
        <f>IF(ISNUMBER('Resol  Asuntos'!D18/NºAsuntos!G18),'Resol  Asuntos'!D18/NºAsuntos!G18," - ")</f>
        <v>0.12632197414806109</v>
      </c>
      <c r="E18" s="861">
        <f>IF(ISNUMBER((NºAsuntos!C18+NºAsuntos!E18)/NºAsuntos!G18),(NºAsuntos!C18+NºAsuntos!E18)/NºAsuntos!G18," - ")</f>
        <v>1.2958284371327851</v>
      </c>
      <c r="G18" s="463"/>
    </row>
    <row r="19" spans="1:7" ht="15.75" customHeight="1" thickTop="1" thickBot="1">
      <c r="A19" s="793" t="str">
        <f>Datos!A19</f>
        <v>TOTAL JURISDICCIONES</v>
      </c>
      <c r="B19" s="808">
        <f>IF(ISNUMBER(NºAsuntos!G19/NºAsuntos!E19),NºAsuntos!G19/NºAsuntos!E19," - ")</f>
        <v>0.95625727966869423</v>
      </c>
      <c r="C19" s="809">
        <f>IF(ISNUMBER(NºAsuntos!I19/NºAsuntos!G19),NºAsuntos!I19/NºAsuntos!G19," - ")</f>
        <v>0.43294085803221005</v>
      </c>
      <c r="D19" s="810">
        <f>IF(ISNUMBER('Resol  Asuntos'!D19/NºAsuntos!G19),'Resol  Asuntos'!D19/NºAsuntos!G19," - ")</f>
        <v>0.18013262958451753</v>
      </c>
      <c r="E19" s="811">
        <f>IF(ISNUMBER((NºAsuntos!C19+NºAsuntos!E19)/NºAsuntos!G19),(NºAsuntos!C19+NºAsuntos!E19)/NºAsuntos!G19," - ")</f>
        <v>1.4643388821220733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28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k5vT5tWKSQTafzZk/cAxUZIaAYPiIQJmnoqe5zQrm6LEYDL1vmFkfM7TlT0z0jJabeur2FtzK5tPVSkYMTW9Gg==" saltValue="rU/w3A8L295wR8V5HC6ee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MISLATA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1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35</v>
      </c>
      <c r="G10" s="333">
        <f>IF(ISNUMBER(Datos!I10),Datos!I10," - ")</f>
        <v>35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32</v>
      </c>
      <c r="X10" s="226">
        <f>IF(ISNUMBER(Datos!Q10),Datos!Q10," - ")</f>
        <v>16</v>
      </c>
      <c r="Y10" s="334">
        <f t="shared" ref="Y10:Y12" si="0">SUM(W10:X10)</f>
        <v>48</v>
      </c>
      <c r="Z10" s="335" t="str">
        <f>IF(ISNUMBER(Datos!CC10),Datos!CC10," - ")</f>
        <v xml:space="preserve"> - </v>
      </c>
      <c r="AA10" s="332">
        <f>IF(ISNUMBER(Datos!L10),Datos!L10,"-")</f>
        <v>12</v>
      </c>
      <c r="AB10" s="334">
        <f>IF(ISNUMBER(Datos!R10),Datos!R10," - ")</f>
        <v>16</v>
      </c>
      <c r="AC10" s="334">
        <f t="shared" ref="AC10:AC12" si="1">IF(ISNUMBER(AA10+AB10),AA10+AB10," - ")</f>
        <v>28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6</v>
      </c>
      <c r="AJ10" s="231" t="str">
        <f>IF(ISNUMBER(Datos!BW10),Datos!BW10," - ")</f>
        <v xml:space="preserve"> - </v>
      </c>
      <c r="AK10" s="232" t="str">
        <f>IF(ISNUMBER(Datos!BX10),Datos!BX10," - ")</f>
        <v xml:space="preserve"> - </v>
      </c>
      <c r="AL10" s="243">
        <f>IF(ISNUMBER(NºAsuntos!G10/NºAsuntos!E10),NºAsuntos!G10/NºAsuntos!E10," - ")</f>
        <v>3.5555555555555554</v>
      </c>
      <c r="AM10" s="260">
        <f>IF(ISNUMBER(((NºAsuntos!I10/NºAsuntos!G10)*11)/factor_trimestre),((NºAsuntos!I10/NºAsuntos!G10)*11)/factor_trimestre," - ")</f>
        <v>4.125</v>
      </c>
      <c r="AN10" s="244">
        <f>IF(ISNUMBER('Resol  Asuntos'!D10/NºAsuntos!G10),'Resol  Asuntos'!D10/NºAsuntos!G10," - ")</f>
        <v>0.1875</v>
      </c>
      <c r="AO10" s="245">
        <f>IF(ISNUMBER((NºAsuntos!C10+NºAsuntos!E10)/NºAsuntos!G10),(NºAsuntos!C10+NºAsuntos!E10)/NºAsuntos!G10," - ")</f>
        <v>1.375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940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1505</v>
      </c>
      <c r="Y12" s="334">
        <f t="shared" si="0"/>
        <v>1505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4245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895</v>
      </c>
      <c r="AJ12" s="229" t="str">
        <f>IF(ISNUMBER(Datos!BW12),Datos!BW12," - ")</f>
        <v xml:space="preserve"> - </v>
      </c>
      <c r="AK12" s="228" t="str">
        <f>IF(ISNUMBER(Datos!BX12),Datos!BX12," - ")</f>
        <v xml:space="preserve"> - </v>
      </c>
      <c r="AL12" s="243">
        <f>IF(ISNUMBER(NºAsuntos!G12/NºAsuntos!E12),NºAsuntos!G12/NºAsuntos!E12," - ")</f>
        <v>0.88911381016644175</v>
      </c>
      <c r="AM12" s="260">
        <f>IF(ISNUMBER(((NºAsuntos!I12/NºAsuntos!G12)*11)/factor_trimestre),((NºAsuntos!I12/NºAsuntos!G12)*11)/factor_trimestre," - ")</f>
        <v>6.7118644067796618</v>
      </c>
      <c r="AN12" s="244">
        <f>IF(ISNUMBER('Resol  Asuntos'!D12/NºAsuntos!G12),'Resol  Asuntos'!D12/NºAsuntos!G12," - ")</f>
        <v>0.22641032127498104</v>
      </c>
      <c r="AO12" s="245">
        <f>IF(ISNUMBER((NºAsuntos!C12+NºAsuntos!E12)/NºAsuntos!G12),(NºAsuntos!C12+NºAsuntos!E12)/NºAsuntos!G12," - ")</f>
        <v>1.6101694915254237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35</v>
      </c>
      <c r="G13" s="866">
        <f t="shared" si="3"/>
        <v>35</v>
      </c>
      <c r="H13" s="865">
        <f t="shared" si="3"/>
        <v>0</v>
      </c>
      <c r="I13" s="867">
        <f t="shared" si="3"/>
        <v>0</v>
      </c>
      <c r="J13" s="867">
        <f t="shared" si="3"/>
        <v>0</v>
      </c>
      <c r="K13" s="867">
        <f t="shared" si="3"/>
        <v>0</v>
      </c>
      <c r="L13" s="867">
        <f t="shared" si="3"/>
        <v>942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32</v>
      </c>
      <c r="X13" s="867">
        <f t="shared" si="4"/>
        <v>1521</v>
      </c>
      <c r="Y13" s="868">
        <f t="shared" si="4"/>
        <v>1553</v>
      </c>
      <c r="Z13" s="868">
        <f t="shared" si="4"/>
        <v>0</v>
      </c>
      <c r="AA13" s="868">
        <f t="shared" si="4"/>
        <v>12</v>
      </c>
      <c r="AB13" s="868">
        <f t="shared" si="4"/>
        <v>4261</v>
      </c>
      <c r="AC13" s="868">
        <f t="shared" si="4"/>
        <v>28</v>
      </c>
      <c r="AD13" s="868">
        <f t="shared" si="4"/>
        <v>0</v>
      </c>
      <c r="AE13" s="872">
        <f t="shared" si="4"/>
        <v>0</v>
      </c>
      <c r="AF13" s="865">
        <f t="shared" si="4"/>
        <v>0</v>
      </c>
      <c r="AG13" s="873">
        <f t="shared" si="4"/>
        <v>0</v>
      </c>
      <c r="AH13" s="870">
        <f t="shared" si="4"/>
        <v>0</v>
      </c>
      <c r="AI13" s="865">
        <f t="shared" si="4"/>
        <v>901</v>
      </c>
      <c r="AJ13" s="867">
        <f t="shared" si="4"/>
        <v>0</v>
      </c>
      <c r="AK13" s="870">
        <f>SUBTOTAL(9,AK9:AK12)</f>
        <v>0</v>
      </c>
      <c r="AL13" s="874">
        <f>IF(ISNUMBER(NºAsuntos!G13/NºAsuntos!E13),NºAsuntos!G13/NºAsuntos!E13," - ")</f>
        <v>0.89450056116722787</v>
      </c>
      <c r="AM13" s="874">
        <f>IF(ISNUMBER(((NºAsuntos!I13/NºAsuntos!G13)*11)/factor_trimestre),((NºAsuntos!I13/NºAsuntos!G13)*11)/factor_trimestre," - ")</f>
        <v>6.6910915934755337</v>
      </c>
      <c r="AN13" s="875">
        <f>IF(ISNUMBER('Resol  Asuntos'!D13/NºAsuntos!G13),'Resol  Asuntos'!D13/NºAsuntos!G13," - ")</f>
        <v>0.2260978670012547</v>
      </c>
      <c r="AO13" s="876">
        <f>IF(ISNUMBER((NºAsuntos!C13+NºAsuntos!E13)/NºAsuntos!G13),(NºAsuntos!C13+NºAsuntos!E13)/NºAsuntos!G13," - ")</f>
        <v>1.6082810539523211</v>
      </c>
      <c r="AP13" s="877" t="str">
        <f t="shared" si="2"/>
        <v xml:space="preserve"> - </v>
      </c>
      <c r="AQ13" s="877">
        <f>IF(ISNUMBER((H13-W13+K13)/(F13)),(H13-W13+K13)/(F13)," - ")</f>
        <v>-0.91428571428571426</v>
      </c>
      <c r="AR13" s="878">
        <f>IF(ISNUMBER((Datos!P13-Datos!Q13)/(Datos!R13-Datos!P13+Datos!Q13)),(Datos!P13-Datos!Q13)/(Datos!R13-Datos!P13+Datos!Q13)," - ")</f>
        <v>-0.11962809917355371</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797</v>
      </c>
      <c r="G16" s="333">
        <f>IF(ISNUMBER(IF(D_I="SI",Datos!I16,Datos!I16+Datos!AC16)),IF(D_I="SI",Datos!I16,Datos!I16+Datos!AC16)," - ")</f>
        <v>1032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197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3202</v>
      </c>
      <c r="X16" s="226">
        <f>IF(ISNUMBER(Datos!Q16),Datos!Q16," - ")</f>
        <v>184</v>
      </c>
      <c r="Y16" s="334">
        <f t="shared" ref="Y16:Y17" si="7">SUM(W16:X16)</f>
        <v>3386</v>
      </c>
      <c r="Z16" s="335" t="str">
        <f>IF(ISNUMBER(Datos!CC16),Datos!CC16," - ")</f>
        <v xml:space="preserve"> - </v>
      </c>
      <c r="AA16" s="332">
        <f>IF(ISNUMBER(IF(D_I="SI",Datos!L16,Datos!L16+Datos!AF16)),IF(D_I="SI",Datos!L16,Datos!L16+Datos!AF16)," - ")</f>
        <v>765</v>
      </c>
      <c r="AB16" s="334">
        <f>IF(ISNUMBER(Datos!R16),Datos!R16," - ")</f>
        <v>152</v>
      </c>
      <c r="AC16" s="334">
        <f t="shared" si="6"/>
        <v>917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415</v>
      </c>
      <c r="AJ16" s="231" t="str">
        <f>IF(ISNUMBER(Datos!BW16),Datos!BW16," - ")</f>
        <v xml:space="preserve"> - </v>
      </c>
      <c r="AK16" s="232" t="str">
        <f>IF(ISNUMBER(Datos!BX16),Datos!BX16," - ")</f>
        <v xml:space="preserve"> - </v>
      </c>
      <c r="AL16" s="243">
        <f>IF(ISNUMBER(NºAsuntos!G16/NºAsuntos!E16),NºAsuntos!G16/NºAsuntos!E16," - ")</f>
        <v>1.0100946372239747</v>
      </c>
      <c r="AM16" s="260">
        <f>IF(ISNUMBER(((NºAsuntos!I16/NºAsuntos!G16)*11)/factor_trimestre),((NºAsuntos!I16/NºAsuntos!G16)*11)/factor_trimestre," - ")</f>
        <v>2.6280449718925674</v>
      </c>
      <c r="AN16" s="244">
        <f>IF(ISNUMBER('Resol  Asuntos'!D16/NºAsuntos!G16),'Resol  Asuntos'!D16/NºAsuntos!G16," - ")</f>
        <v>0.12960649594003748</v>
      </c>
      <c r="AO16" s="245">
        <f>IF(ISNUMBER((NºAsuntos!C16+NºAsuntos!E16)/NºAsuntos!G16),(NºAsuntos!C16+NºAsuntos!E16)/NºAsuntos!G16," - ")</f>
        <v>1.3123048094940661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107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202</v>
      </c>
      <c r="X17" s="226">
        <f>IF(ISNUMBER(Datos!Q17),Datos!Q17," - ")</f>
        <v>2</v>
      </c>
      <c r="Y17" s="334">
        <f t="shared" si="7"/>
        <v>204</v>
      </c>
      <c r="Z17" s="335" t="str">
        <f>IF(ISNUMBER(Datos!CC17),Datos!CC17," - ")</f>
        <v xml:space="preserve"> - </v>
      </c>
      <c r="AA17" s="332">
        <f>IF(ISNUMBER(Datos!L17),Datos!L17,"-")</f>
        <v>10</v>
      </c>
      <c r="AB17" s="334">
        <f>IF(ISNUMBER(Datos!R17),Datos!R17," - ")</f>
        <v>0</v>
      </c>
      <c r="AC17" s="334">
        <f t="shared" si="6"/>
        <v>10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15</v>
      </c>
      <c r="AJ17" s="231" t="str">
        <f>IF(ISNUMBER(Datos!BW17),Datos!BW17," - ")</f>
        <v xml:space="preserve"> - </v>
      </c>
      <c r="AK17" s="232" t="str">
        <f>IF(ISNUMBER(Datos!BX17),Datos!BX17," - ")</f>
        <v xml:space="preserve"> - </v>
      </c>
      <c r="AL17" s="243">
        <f>IF(ISNUMBER(NºAsuntos!G17/NºAsuntos!E17),NºAsuntos!G17/NºAsuntos!E17," - ")</f>
        <v>1.9803921568627452</v>
      </c>
      <c r="AM17" s="260">
        <f>IF(ISNUMBER(((NºAsuntos!I17/NºAsuntos!G17)*11)/factor_trimestre),((NºAsuntos!I17/NºAsuntos!G17)*11)/factor_trimestre," - ")</f>
        <v>0.54455445544554459</v>
      </c>
      <c r="AN17" s="244">
        <f>IF(ISNUMBER('Resol  Asuntos'!D17/NºAsuntos!G17),'Resol  Asuntos'!D17/NºAsuntos!G17," - ")</f>
        <v>7.4257425742574254E-2</v>
      </c>
      <c r="AO17" s="245">
        <f>IF(ISNUMBER((NºAsuntos!C17+NºAsuntos!E17)/NºAsuntos!G17),(NºAsuntos!C17+NºAsuntos!E17)/NºAsuntos!G17," - ")</f>
        <v>1.0346534653465347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797</v>
      </c>
      <c r="G18" s="866">
        <f>SUBTOTAL(9,G15:G17)</f>
        <v>1139</v>
      </c>
      <c r="H18" s="865">
        <f t="shared" ref="H18:O18" si="10">SUBTOTAL(9,H14:H17)</f>
        <v>0</v>
      </c>
      <c r="I18" s="867">
        <f t="shared" si="10"/>
        <v>0</v>
      </c>
      <c r="J18" s="867">
        <f t="shared" si="10"/>
        <v>0</v>
      </c>
      <c r="K18" s="867">
        <f t="shared" si="10"/>
        <v>0</v>
      </c>
      <c r="L18" s="867">
        <f t="shared" si="10"/>
        <v>199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3404</v>
      </c>
      <c r="X18" s="867">
        <f t="shared" si="11"/>
        <v>186</v>
      </c>
      <c r="Y18" s="868">
        <f t="shared" si="11"/>
        <v>3590</v>
      </c>
      <c r="Z18" s="868">
        <f t="shared" si="11"/>
        <v>0</v>
      </c>
      <c r="AA18" s="868">
        <f t="shared" si="11"/>
        <v>775</v>
      </c>
      <c r="AB18" s="868">
        <f t="shared" si="11"/>
        <v>152</v>
      </c>
      <c r="AC18" s="868">
        <f t="shared" si="11"/>
        <v>927</v>
      </c>
      <c r="AD18" s="868">
        <f t="shared" si="11"/>
        <v>0</v>
      </c>
      <c r="AE18" s="872">
        <f t="shared" si="11"/>
        <v>0</v>
      </c>
      <c r="AF18" s="865">
        <f t="shared" si="11"/>
        <v>0</v>
      </c>
      <c r="AG18" s="873">
        <f t="shared" si="11"/>
        <v>0</v>
      </c>
      <c r="AH18" s="870">
        <f t="shared" si="11"/>
        <v>0</v>
      </c>
      <c r="AI18" s="865">
        <f t="shared" si="11"/>
        <v>430</v>
      </c>
      <c r="AJ18" s="867">
        <f t="shared" si="11"/>
        <v>0</v>
      </c>
      <c r="AK18" s="870">
        <f t="shared" si="11"/>
        <v>0</v>
      </c>
      <c r="AL18" s="874">
        <f>IF(ISNUMBER(NºAsuntos!G18/NºAsuntos!E18),NºAsuntos!G18/NºAsuntos!E18," - ")</f>
        <v>1.0403422982885087</v>
      </c>
      <c r="AM18" s="874">
        <f>IF(ISNUMBER(((NºAsuntos!I18/NºAsuntos!G18)*11)/factor_trimestre),((NºAsuntos!I18/NºAsuntos!G18)*11)/factor_trimestre," - ")</f>
        <v>2.5044065804935371</v>
      </c>
      <c r="AN18" s="875">
        <f>IF(ISNUMBER('Resol  Asuntos'!D18/NºAsuntos!G18),'Resol  Asuntos'!D18/NºAsuntos!G18," - ")</f>
        <v>0.12632197414806109</v>
      </c>
      <c r="AO18" s="876">
        <f>IF(ISNUMBER((NºAsuntos!C18+NºAsuntos!E18)/NºAsuntos!G18),(NºAsuntos!C18+NºAsuntos!E18)/NºAsuntos!G18," - ")</f>
        <v>1.2958284371327851</v>
      </c>
      <c r="AP18" s="877" t="str">
        <f t="shared" si="2"/>
        <v xml:space="preserve"> - </v>
      </c>
      <c r="AQ18" s="877">
        <f>IF(ISNUMBER((H18-W18+K18)/(F18)),(H18-W18+K18)/(F18)," - ")</f>
        <v>-4.2710163111668757</v>
      </c>
      <c r="AR18" s="878">
        <f>IF(ISNUMBER((Datos!P18-Datos!Q18)/(Datos!R18-Datos!P18+Datos!Q18)),(Datos!P18-Datos!Q18)/(Datos!R18-Datos!P18+Datos!Q18)," - ")</f>
        <v>9.3525179856115109E-2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832</v>
      </c>
      <c r="G19" s="821">
        <f t="shared" si="13"/>
        <v>1174</v>
      </c>
      <c r="H19" s="820">
        <f t="shared" si="13"/>
        <v>0</v>
      </c>
      <c r="I19" s="822">
        <f t="shared" si="13"/>
        <v>0</v>
      </c>
      <c r="J19" s="822">
        <f t="shared" si="13"/>
        <v>0</v>
      </c>
      <c r="K19" s="881">
        <f t="shared" si="13"/>
        <v>0</v>
      </c>
      <c r="L19" s="822">
        <f t="shared" si="13"/>
        <v>1141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3436</v>
      </c>
      <c r="X19" s="821">
        <f t="shared" si="14"/>
        <v>1707</v>
      </c>
      <c r="Y19" s="828">
        <f t="shared" si="14"/>
        <v>5143</v>
      </c>
      <c r="Z19" s="828">
        <f t="shared" si="14"/>
        <v>0</v>
      </c>
      <c r="AA19" s="828">
        <f t="shared" si="14"/>
        <v>787</v>
      </c>
      <c r="AB19" s="828">
        <f t="shared" si="14"/>
        <v>4413</v>
      </c>
      <c r="AC19" s="828">
        <f t="shared" si="14"/>
        <v>955</v>
      </c>
      <c r="AD19" s="828">
        <f t="shared" si="14"/>
        <v>0</v>
      </c>
      <c r="AE19" s="830">
        <f t="shared" si="14"/>
        <v>0</v>
      </c>
      <c r="AF19" s="831">
        <f t="shared" si="14"/>
        <v>0</v>
      </c>
      <c r="AG19" s="832">
        <f t="shared" si="14"/>
        <v>0</v>
      </c>
      <c r="AH19" s="830">
        <f t="shared" si="14"/>
        <v>0</v>
      </c>
      <c r="AI19" s="820">
        <f t="shared" si="14"/>
        <v>1331</v>
      </c>
      <c r="AJ19" s="820">
        <f t="shared" si="14"/>
        <v>0</v>
      </c>
      <c r="AK19" s="830">
        <f t="shared" si="14"/>
        <v>0</v>
      </c>
      <c r="AL19" s="884">
        <f>IF(ISNUMBER(NºAsuntos!G19/NºAsuntos!E19),NºAsuntos!G19/NºAsuntos!E19," - ")</f>
        <v>0.95625727966869423</v>
      </c>
      <c r="AM19" s="885">
        <f>IF(ISNUMBER(((NºAsuntos!I19/NºAsuntos!G19)*11)/factor_trimestre),((NºAsuntos!I19/NºAsuntos!G19)*11)/factor_trimestre," - ")</f>
        <v>4.7623494383543106</v>
      </c>
      <c r="AN19" s="885">
        <f>IF(ISNUMBER('Resol  Asuntos'!D19/NºAsuntos!G19),'Resol  Asuntos'!D19/NºAsuntos!G19," - ")</f>
        <v>0.18013262958451753</v>
      </c>
      <c r="AO19" s="886">
        <f>IF(ISNUMBER((NºAsuntos!C19+NºAsuntos!E19)/NºAsuntos!G19),(NºAsuntos!C19+NºAsuntos!E19)/NºAsuntos!G19," - ")</f>
        <v>1.4643388821220733</v>
      </c>
      <c r="AP19" s="887" t="str">
        <f t="shared" si="2"/>
        <v xml:space="preserve"> - </v>
      </c>
      <c r="AQ19" s="888">
        <f>IF(OR(ISNUMBER(FIND("01",Criterios!A8,1)),ISNUMBER(FIND("02",Criterios!A8,1)),ISNUMBER(FIND("03",Criterios!A8,1)),ISNUMBER(FIND("04",Criterios!A8,1))),(I19-W19+K19)/(F19-K19),(H19-W19+K19)/(F19-K19))</f>
        <v>-4.1298076923076925</v>
      </c>
      <c r="AR19" s="889">
        <f>IF(ISNUMBER((Datos!P19-Datos!Q19)/(Datos!R19-Datos!P19+Datos!Q19)),(Datos!P19-Datos!Q19)/(Datos!R19-Datos!P19+Datos!Q19)," - ")</f>
        <v>-0.11367744527013457</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469.6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439.94090512249483</v>
      </c>
      <c r="G21" s="253">
        <f>IF(ISNUMBER(STDEV(G8:G18)),STDEV(G8:G18),"-")</f>
        <v>564.27457855196701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1763.3771009060995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397.28360986412042</v>
      </c>
      <c r="AJ21" s="252">
        <f t="shared" si="18"/>
        <v>0</v>
      </c>
      <c r="AK21" s="254">
        <f t="shared" si="18"/>
        <v>0</v>
      </c>
      <c r="AL21" s="249">
        <f t="shared" si="18"/>
        <v>1.060601027268659</v>
      </c>
      <c r="AM21" s="250">
        <f t="shared" si="18"/>
        <v>2.4724734232803018</v>
      </c>
      <c r="AN21" s="250">
        <f t="shared" si="18"/>
        <v>6.1527152472355288E-2</v>
      </c>
      <c r="AO21" s="251">
        <f t="shared" si="18"/>
        <v>0.21713026410907738</v>
      </c>
      <c r="AP21" s="291" t="str">
        <f t="shared" si="18"/>
        <v>-</v>
      </c>
      <c r="AQ21" s="292">
        <f t="shared" si="18"/>
        <v>2.373566967671036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28 feb. 2025</v>
      </c>
      <c r="D30" s="120"/>
    </row>
    <row r="32" spans="1:65">
      <c r="C32" s="1"/>
      <c r="D32" s="1"/>
    </row>
  </sheetData>
  <sheetProtection algorithmName="SHA-512" hashValue="m7kSsQWd5b3qVlmlFn8HuC8mneIC8MRipM18J64xamIO0LiZkyuzmAvEN/dXpAOwMTGBmMNs92iZIcdoxiXOqA==" saltValue="aw0wS1Pzneoj8Y9ASrn7M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MISLATA</v>
      </c>
      <c r="E4" s="263"/>
    </row>
    <row r="5" spans="2:20" ht="12.75" customHeight="1">
      <c r="B5" s="272"/>
      <c r="C5" s="1266" t="str">
        <f>"Año:  " &amp;Criterios!B5 &amp; "          Trimestre   " &amp;Criterios!D5 &amp; " al " &amp;Criterios!D6</f>
        <v>Año:  2024          Trimestre   1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0.16666666666666666</v>
      </c>
      <c r="E10" s="348">
        <f>IF(ISNUMBER((Datos!J10-Datos!T10)/Datos!T10),(Datos!J10-Datos!T10)/Datos!T10," - ")</f>
        <v>-0.7567567567567568</v>
      </c>
      <c r="F10" s="348">
        <f>IF(ISNUMBER((Datos!K10-Datos!U10)/Datos!U10),(Datos!K10-Datos!U10)/Datos!U10," - ")</f>
        <v>0.88235294117647056</v>
      </c>
      <c r="G10" s="349">
        <f>IF(ISNUMBER((Datos!L10-Datos!V10)/Datos!V10),(Datos!L10-Datos!V10)/Datos!V10," - ")</f>
        <v>-0.65714285714285714</v>
      </c>
      <c r="H10" s="230">
        <f>IF(ISNUMBER((Datos!M10-Datos!W10)/Datos!W10),(Datos!M10-Datos!W10)/Datos!W10," - ")</f>
        <v>-0.4</v>
      </c>
      <c r="I10" s="350">
        <f>IF(ISNUMBER((Tasas!C10-Datos!BE10)/Datos!BE10),(Tasas!C10-Datos!BE10)/Datos!BE10," - ")</f>
        <v>-0.81785714285714284</v>
      </c>
      <c r="J10" s="349">
        <f>IF(ISNUMBER((Tasas!D10-Datos!BF10)/Datos!BF10),(Tasas!D10-Datos!BF10)/Datos!BF10," - ")</f>
        <v>-0.68125000000000002</v>
      </c>
      <c r="K10" s="351">
        <f>IF(ISNUMBER((Tasas!E10-Datos!BG10)/Datos!BG10),(Tasas!E10-Datos!BG10)/Datos!BG10," - ")</f>
        <v>-0.65111940298507465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0.38330757341576505</v>
      </c>
      <c r="I12" s="350">
        <f>IF(ISNUMBER((Tasas!C12-Datos!BE12)/Datos!BE12),(Tasas!C12-Datos!BE12)/Datos!BE12," - ")</f>
        <v>0.15070525785852459</v>
      </c>
      <c r="J12" s="349">
        <f>IF(ISNUMBER((Tasas!D12-Datos!BF12)/Datos!BF12),(Tasas!D12-Datos!BF12)/Datos!BF12," - ")</f>
        <v>-0.50610069156470383</v>
      </c>
      <c r="K12" s="351">
        <f>IF(ISNUMBER((Tasas!E12-Datos!BG12)/Datos!BG12),(Tasas!E12-Datos!BG12)/Datos!BG12," - ")</f>
        <v>4.99465567262177E-2</v>
      </c>
      <c r="M12" t="e">
        <f>IF(Monitorios="SI",Datos!CE12,0)</f>
        <v>#REF!</v>
      </c>
      <c r="N12" t="e">
        <f>IF(Monitorios="SI",Datos!CF12,0)</f>
        <v>#REF!</v>
      </c>
      <c r="O12" t="e">
        <f>IF(Monitorios="SI",Datos!CG12,0)</f>
        <v>#REF!</v>
      </c>
      <c r="P12" t="e">
        <f>IF(Monitorios="SI",Datos!CH12,0)</f>
        <v>#REF!</v>
      </c>
      <c r="Q12">
        <f>IF(J_V="SI",0,Datos!AG12)</f>
        <v>69</v>
      </c>
      <c r="R12">
        <f>IF(J_V="SI",0,Datos!AH12)</f>
        <v>211</v>
      </c>
      <c r="S12">
        <f>IF(J_V="SI",0,Datos!AI12)</f>
        <v>223</v>
      </c>
      <c r="T12">
        <f>IF(J_V="SI",0,Datos!AJ12)</f>
        <v>57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0.37138508371385082</v>
      </c>
      <c r="I13" s="357">
        <f>IF(ISNUMBER((Tasas!C13-Datos!BE13)/Datos!BE13),(Tasas!C13-Datos!BE13)/Datos!BE13," - ")</f>
        <v>0.13188838903308092</v>
      </c>
      <c r="J13" s="355">
        <f>IF(ISNUMBER((Tasas!D13-Datos!BF13)/Datos!BF13),(Tasas!D13-Datos!BF13)/Datos!BF13," - ")</f>
        <v>-0.50743448507096345</v>
      </c>
      <c r="K13" s="358">
        <f>IF(ISNUMBER((Tasas!E13-Datos!BG13)/Datos!BG13),(Tasas!E13-Datos!BG13)/Datos!BG13," - ")</f>
        <v>4.1073511157315168E-2</v>
      </c>
      <c r="M13" t="e">
        <f>IF(Monitorios="SI",Datos!CE13,0)</f>
        <v>#REF!</v>
      </c>
      <c r="N13" t="e">
        <f>IF(Monitorios="SI",Datos!CF13,0)</f>
        <v>#REF!</v>
      </c>
      <c r="O13" t="e">
        <f>IF(Monitorios="SI",Datos!CG13,0)</f>
        <v>#REF!</v>
      </c>
      <c r="P13" t="e">
        <f>IF(Monitorios="SI",Datos!CH13,0)</f>
        <v>#REF!</v>
      </c>
      <c r="Q13">
        <f>IF(J_V="SI",0,Datos!AG13)</f>
        <v>69</v>
      </c>
      <c r="R13">
        <f>IF(J_V="SI",0,Datos!AH13)</f>
        <v>211</v>
      </c>
      <c r="S13">
        <f>IF(J_V="SI",0,Datos!AI13)</f>
        <v>223</v>
      </c>
      <c r="T13">
        <f>IF(J_V="SI",0,Datos!AJ13)</f>
        <v>57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0.31800766283524906</v>
      </c>
      <c r="E16" s="348">
        <f>IF(ISNUMBER(
   IF(D_I="SI",(Datos!J16-Datos!T16)/Datos!T16,(Datos!J16+Datos!AD16-(Datos!T16+Datos!AL16))/(Datos!T16+Datos!AL16))
     ),IF(D_I="SI",(Datos!J16-Datos!T16)/Datos!T16,(Datos!J16+Datos!AD16-(Datos!T16+Datos!AL16))/(Datos!T16+Datos!AL16))," - ")</f>
        <v>-9.4544415881176805E-2</v>
      </c>
      <c r="F16" s="348">
        <f>IF(ISNUMBER(
   IF(D_I="SI",(Datos!K16-Datos!U16)/Datos!U16,(Datos!K16+Datos!AE16-(Datos!U16+Datos!AM16))/(Datos!U16+Datos!AM16))
     ),IF(D_I="SI",(Datos!K16-Datos!U16)/Datos!U16,(Datos!K16+Datos!AE16-(Datos!U16+Datos!AM16))/(Datos!U16+Datos!AM16))," - ")</f>
        <v>-1.1728395061728396E-2</v>
      </c>
      <c r="G16" s="349">
        <f>IF(ISNUMBER(
   IF(D_I="SI",(Datos!L16-Datos!V16)/Datos!V16,(Datos!L16+Datos!AF16-(Datos!V16+Datos!AN16))/(Datos!V16+Datos!AN16))
     ),IF(D_I="SI",(Datos!L16-Datos!V16)/Datos!V16,(Datos!L16+Datos!AF16-(Datos!V16+Datos!AN16))/(Datos!V16+Datos!AN16))," - ")</f>
        <v>-0.25872093023255816</v>
      </c>
      <c r="H16" s="230">
        <f>IF(ISNUMBER((Datos!M16-Datos!W16)/Datos!W16),(Datos!M16-Datos!W16)/Datos!W16," - ")</f>
        <v>2.7227722772277228E-2</v>
      </c>
      <c r="I16" s="350">
        <f>IF(ISNUMBER((Tasas!C16-Datos!BE16)/Datos!BE16),(Tasas!C16-Datos!BE16)/Datos!BE16," - ")</f>
        <v>-0.24992373952326311</v>
      </c>
      <c r="J16" s="349">
        <f>IF(ISNUMBER((Tasas!D16-Datos!BF16)/Datos!BF16),(Tasas!D16-Datos!BF16)/Datos!BF16," - ")</f>
        <v>3.9418432786439167E-2</v>
      </c>
      <c r="K16" s="351">
        <f>IF(ISNUMBER((Tasas!E16-Datos!BG16)/Datos!BG16),(Tasas!E16-Datos!BG16)/Datos!BG16," - ")</f>
        <v>-7.5005642481852479E-3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0.16304347826086957</v>
      </c>
      <c r="E17" s="348">
        <f>IF(ISNUMBER(
   IF(D_I="SI",(Datos!J17-Datos!T17)/Datos!T17,(Datos!J17+Datos!AD17-(Datos!T17+Datos!AL17))/(Datos!T17+Datos!AL17))
     ),IF(D_I="SI",(Datos!J17-Datos!T17)/Datos!T17,(Datos!J17+Datos!AD17-(Datos!T17+Datos!AL17))/(Datos!T17+Datos!AL17))," - ")</f>
        <v>-0.72282608695652173</v>
      </c>
      <c r="F17" s="348">
        <f>IF(ISNUMBER(
   IF(D_I="SI",(Datos!K17-Datos!U17)/Datos!U17,(Datos!K17+Datos!AE17-(Datos!U17+Datos!AM17))/(Datos!U17+Datos!AM17))
     ),IF(D_I="SI",(Datos!K17-Datos!U17)/Datos!U17,(Datos!K17+Datos!AE17-(Datos!U17+Datos!AM17))/(Datos!U17+Datos!AM17))," - ")</f>
        <v>-0.42937853107344631</v>
      </c>
      <c r="G17" s="349">
        <f>IF(ISNUMBER(
   IF(D_I="SI",(Datos!L17-Datos!V17)/Datos!V17,(Datos!L17+Datos!AF17-(Datos!V17+Datos!AN17))/(Datos!V17+Datos!AN17))
     ),IF(D_I="SI",(Datos!L17-Datos!V17)/Datos!V17,(Datos!L17+Datos!AF17-(Datos!V17+Datos!AN17))/(Datos!V17+Datos!AN17))," - ")</f>
        <v>-0.90654205607476634</v>
      </c>
      <c r="H17" s="230">
        <f>IF(ISNUMBER((Datos!M17-Datos!W17)/Datos!W17),(Datos!M17-Datos!W17)/Datos!W17," - ")</f>
        <v>-0.625</v>
      </c>
      <c r="I17" s="350">
        <f>IF(ISNUMBER((Tasas!C17-Datos!BE17)/Datos!BE17),(Tasas!C17-Datos!BE17)/Datos!BE17," - ")</f>
        <v>-0.83621726658647177</v>
      </c>
      <c r="J17" s="349">
        <f>IF(ISNUMBER((Tasas!D17-Datos!BF17)/Datos!BF17),(Tasas!D17-Datos!BF17)/Datos!BF17," - ")</f>
        <v>-0.34282178217821785</v>
      </c>
      <c r="K17" s="351">
        <f>IF(ISNUMBER((Tasas!E17-Datos!BG17)/Datos!BG17),(Tasas!E17-Datos!BG17)/Datos!BG17," - ")</f>
        <v>-0.20376668101592765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0.30171428571428571</v>
      </c>
      <c r="E18" s="354">
        <f>IF(ISNUMBER(
   IF(D_I="SI",(Datos!J18-Datos!T18)/Datos!T18,(Datos!J18+Datos!AD18-(Datos!T18+Datos!AL18))/(Datos!T18+Datos!AL18))
     ),IF(D_I="SI",(Datos!J18-Datos!T18)/Datos!T18,(Datos!J18+Datos!AD18-(Datos!T18+Datos!AL18))/(Datos!T18+Datos!AL18))," - ")</f>
        <v>-0.15430343758077023</v>
      </c>
      <c r="F18" s="354">
        <f>IF(ISNUMBER(
   IF(D_I="SI",(Datos!K18-Datos!U18)/Datos!U18,(Datos!K18+Datos!AE18-(Datos!U18+Datos!AM18))/(Datos!U18+Datos!AM18))
     ),IF(D_I="SI",(Datos!K18-Datos!U18)/Datos!U18,(Datos!K18+Datos!AE18-(Datos!U18+Datos!AM18))/(Datos!U18+Datos!AM18))," - ")</f>
        <v>-5.2865887590428491E-2</v>
      </c>
      <c r="G18" s="355">
        <f>IF(ISNUMBER(
   IF(D_I="SI",(Datos!L18-Datos!V18)/Datos!V18,(Datos!L18+Datos!AF18-(Datos!V18+Datos!AN18))/(Datos!V18+Datos!AN18))
     ),IF(D_I="SI",(Datos!L18-Datos!V18)/Datos!V18,(Datos!L18+Datos!AF18-(Datos!V18+Datos!AN18))/(Datos!V18+Datos!AN18))," - ")</f>
        <v>-0.31957857769973663</v>
      </c>
      <c r="H18" s="356">
        <f>IF(ISNUMBER((Datos!M18-Datos!W18)/Datos!W18),(Datos!M18-Datos!W18)/Datos!W18," - ")</f>
        <v>-3.1531531531531529E-2</v>
      </c>
      <c r="I18" s="357">
        <f>IF(ISNUMBER((Tasas!C18-Datos!BE18)/Datos!BE18),(Tasas!C18-Datos!BE18)/Datos!BE18," - ")</f>
        <v>-0.28159970865242451</v>
      </c>
      <c r="J18" s="355">
        <f>IF(ISNUMBER((Tasas!D18-Datos!BF18)/Datos!BF18),(Tasas!D18-Datos!BF18)/Datos!BF18," - ")</f>
        <v>2.2525169117413407E-2</v>
      </c>
      <c r="K18" s="358">
        <f>IF(ISNUMBER((Tasas!E18-Datos!BG18)/Datos!BG18),(Tasas!E18-Datos!BG18)/Datos!BG18," - ")</f>
        <v>-1.8295235443669986E-2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0.15109787867510235</v>
      </c>
      <c r="E19" s="363">
        <f>IF(ISNUMBER(
   IF(J_V="SI",(Datos!J19-Datos!T19)/Datos!T19,(Datos!J19+Datos!Z19-(Datos!T19+Datos!AH19))/(Datos!T19+Datos!AH19))
     ),IF(J_V="SI",(Datos!J19-Datos!T19)/Datos!T19,(Datos!J19+Datos!Z19-(Datos!T19+Datos!AH19))/(Datos!T19+Datos!AH19))," - ")</f>
        <v>6.9064373208235601E-3</v>
      </c>
      <c r="F19" s="363">
        <f>IF(ISNUMBER(
   IF(J_V="SI",(Datos!K19-Datos!U19)/Datos!U19,(Datos!K19+Datos!AA19-(Datos!U19+Datos!AI19))/(Datos!U19+Datos!AI19))
     ),IF(J_V="SI",(Datos!K19-Datos!U19)/Datos!U19,(Datos!K19+Datos!AA19-(Datos!U19+Datos!AI19))/(Datos!U19+Datos!AI19))," - ")</f>
        <v>2.199170124481328E-2</v>
      </c>
      <c r="G19" s="364">
        <f>IF(ISNUMBER(
   IF(J_V="SI",(Datos!L19-Datos!V19)/Datos!V19,(Datos!L19+Datos!AB19-(Datos!V19+Datos!AJ19))/(Datos!V19+Datos!AJ19))
     ),IF(J_V="SI",(Datos!L19-Datos!V19)/Datos!V19,(Datos!L19+Datos!AB19-(Datos!V19+Datos!AJ19))/(Datos!V19+Datos!AJ19))," - ")</f>
        <v>3.427093436792758E-2</v>
      </c>
      <c r="H19" s="365">
        <f>IF(ISNUMBER((Datos!M19-Datos!W19)/Datos!W19),(Datos!M19-Datos!W19)/Datos!W19," - ")</f>
        <v>0.20890099909173479</v>
      </c>
      <c r="I19" s="362">
        <f>IF(ISNUMBER((Tasas!C19-Datos!BE19)/Datos!BE19),(Tasas!C19-Datos!BE19)/Datos!BE19," - ")</f>
        <v>1.2015002771703469E-2</v>
      </c>
      <c r="J19" s="363">
        <f>IF(ISNUMBER((Tasas!D19-Datos!BF19)/Datos!BF19),(Tasas!D19-Datos!BF19)/Datos!BF19," - ")</f>
        <v>-0.38364462286035889</v>
      </c>
      <c r="K19" s="364">
        <f>IF(ISNUMBER((Tasas!E19-Datos!BG19)/Datos!BG19),(Tasas!E19-Datos!BG19)/Datos!BG19," - ")</f>
        <v>2.1828985401273031E-2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8.3996056209277137E-2</v>
      </c>
      <c r="E21" s="278">
        <f t="shared" si="1"/>
        <v>0.35638853777444868</v>
      </c>
      <c r="F21" s="278">
        <f t="shared" si="1"/>
        <v>0.55621794655851664</v>
      </c>
      <c r="G21" s="279">
        <f t="shared" si="1"/>
        <v>0.30314897662089707</v>
      </c>
      <c r="H21" s="285">
        <f t="shared" si="1"/>
        <v>0.4061141748764473</v>
      </c>
      <c r="I21" s="277">
        <f t="shared" si="1"/>
        <v>0.43507371301507286</v>
      </c>
      <c r="J21" s="278">
        <f t="shared" si="1"/>
        <v>0.29892348505650251</v>
      </c>
      <c r="K21" s="279">
        <f t="shared" si="1"/>
        <v>0.27060021161469283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28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2/srs/TTeHHEC5FMuplI38xHoP7mjow9mgNNv6V0l0Z5IB0psWgJFNQxojH/1k9GJEzfgeFPMFuhyEZ695dlFg==" saltValue="VGZJubhNEGreMWSkmewTo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2025-02-28T09:47:28Z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